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ttps://asplanviak-my.sharepoint.com/personal/oddbjorn_dahlstrom_asplanviak_no/Documents/Desktop/breeam manual/v 5/New folder/"/>
    </mc:Choice>
  </mc:AlternateContent>
  <xr:revisionPtr revIDLastSave="1200" documentId="13_ncr:1_{B8688DBB-858A-43ED-9089-7CD2214D54D7}" xr6:coauthVersionLast="47" xr6:coauthVersionMax="47" xr10:uidLastSave="{4728A7F2-1491-4AB4-94BE-37E212D25A79}"/>
  <workbookProtection workbookAlgorithmName="SHA-512" workbookHashValue="EjbDyt4pc/lRjCRcbNRwBeSB3yxTWvMz3ubaDUtHhfwQOIkrh/xpRvYac+vyKBxcpTQhh9AywnYzVOmQ8wf5Cg==" workbookSaltValue="Wi335WVYc3gSx0USBPOS3g==" workbookSpinCount="100000" lockStructure="1"/>
  <bookViews>
    <workbookView xWindow="-51720" yWindow="5385" windowWidth="51840" windowHeight="21240" tabRatio="778"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 name="Logg" sheetId="23" state="hidden" r:id="rId13"/>
  </sheets>
  <definedNames>
    <definedName name="_xlnm._FilterDatabase" localSheetId="7" hidden="1">'PAE available for copy'!$A$9:$AF$226</definedName>
    <definedName name="_xlnm._FilterDatabase" localSheetId="5" hidden="1">Poeng!$A$8:$CL$278</definedName>
    <definedName name="_xlnm._FilterDatabase" localSheetId="2" hidden="1">'Pre-Assessment Estimator'!$A$9:$AF$227</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Details'!$F$11</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Details'!$F$12</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2n">'Assessment Details'!$H$16</definedName>
    <definedName name="ADIND_option03">'Assessment Details'!$F$17</definedName>
    <definedName name="ADPT">'Assessment Details'!$Q$17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Poeng!$BE$264</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Poeng!$BE$259</definedName>
    <definedName name="BP_MinStandards_const">Poeng!$BK$259</definedName>
    <definedName name="BP_MinStandards_design">Poeng!$BH$259</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copy'!$E$1</definedName>
    <definedName name="BRK_Banner">'Pre-Assessment Estimator'!$E$1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Poeng!$BT$311</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Poeng!$BS$311</definedName>
    <definedName name="Ene01_user">Poeng!$AI$69</definedName>
    <definedName name="Ene02_10">Poeng!$AD$75</definedName>
    <definedName name="Ene02_11">Poeng!$BT$312</definedName>
    <definedName name="Ene02_12">Poeng!$BE$75</definedName>
    <definedName name="Ene02_13">Poeng!$AE$75</definedName>
    <definedName name="Ene02_credits">Poeng!$AB$75</definedName>
    <definedName name="Ene02_tot">Poeng!$BS$312</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Poeng!$BS$316</definedName>
    <definedName name="Ene04_16">Poeng!$BE$82</definedName>
    <definedName name="Ene04_19">Poeng!$AD$82</definedName>
    <definedName name="Ene04_20">Poeng!$AE$82</definedName>
    <definedName name="Ene04_credits">Poeng!$AB$82</definedName>
    <definedName name="Ene04_tot">Poeng!$BR$316</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Poeng!$BS$296</definedName>
    <definedName name="Hea02_user">Poeng!$AI$46</definedName>
    <definedName name="Hea03_09">Poeng!$AD$51</definedName>
    <definedName name="Hea03_10">Poeng!$BT$297</definedName>
    <definedName name="Hea03_11">Poeng!$BE$51</definedName>
    <definedName name="Hea03_contr">Poeng!$AE$51</definedName>
    <definedName name="Hea03_credits">Poeng!$AB$51</definedName>
    <definedName name="Hea03_tot">Poeng!$BS$297</definedName>
    <definedName name="Hea03_user">Poeng!$AI$51</definedName>
    <definedName name="Hea04_10">Poeng!$BT$298</definedName>
    <definedName name="Hea04_11">Poeng!$BE$55</definedName>
    <definedName name="Hea04_12">Poeng!$AD$55</definedName>
    <definedName name="Hea04_13">Poeng!$AE$55</definedName>
    <definedName name="Hea04_credits">Poeng!$AB$55</definedName>
    <definedName name="Hea04_tot">Poeng!$BS$298</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Poeng!$BS$300</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Poeng!$BS$301</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Poeng!$BS$303</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Poeng!$BS$304</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copy'!$AO$15</definedName>
    <definedName name="HUG">'Pre-Assessment Estimator'!$AT$35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Poeng!$BE$267</definedName>
    <definedName name="Note_minstand_const">Poeng!$BK$267</definedName>
    <definedName name="Note_minstand_design">Poeng!$BH$267</definedName>
    <definedName name="Poeng_bort">Poeng!$AA$258</definedName>
    <definedName name="Poeng_tilgj">Poeng!$AB$258</definedName>
    <definedName name="Poeng_tot">Poeng!$T$258</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_xlnm.Print_Area" localSheetId="1">'Assessment Details'!$B$2:$F$54</definedName>
    <definedName name="_xlnm.Print_Area" localSheetId="0">Instructions!$B$2:$P$19</definedName>
    <definedName name="_xlnm.Print_Area" localSheetId="7">'PAE available for copy'!$D$1:$Z$226</definedName>
    <definedName name="_xlnm.Print_Area" localSheetId="2">'Pre-Assessment Estimator'!$E$1:$AB$226</definedName>
    <definedName name="_xlnm.Print_Area" localSheetId="6">'Summary of Building Performance'!$B$2:$P$111</definedName>
    <definedName name="_xlnm.Print_Area" localSheetId="8">'Version Control'!$B$2:$P$23</definedName>
    <definedName name="_xlnm.Print_Titles" localSheetId="7">'PAE available for copy'!$9:$9</definedName>
    <definedName name="_xlnm.Print_Titles" localSheetId="2">'Pre-Assessment Estimator'!$9:$9</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1" l="1"/>
  <c r="F12" i="11"/>
  <c r="D12" i="11"/>
  <c r="Z6" i="5"/>
  <c r="S6" i="5"/>
  <c r="L6" i="5"/>
  <c r="Q17" i="3"/>
  <c r="Q16" i="3"/>
  <c r="Q15" i="3"/>
  <c r="Q12" i="3"/>
  <c r="BT145" i="13" l="1"/>
  <c r="BS145" i="13"/>
  <c r="BR145" i="13"/>
  <c r="BQ250" i="13"/>
  <c r="I15" i="3"/>
  <c r="U119" i="13" s="1"/>
  <c r="AK281" i="13"/>
  <c r="B63" i="11" l="1"/>
  <c r="U118" i="13"/>
  <c r="AJ281" i="13" l="1"/>
  <c r="AI281" i="13"/>
  <c r="H21" i="3"/>
  <c r="Z172" i="21"/>
  <c r="Y172" i="21"/>
  <c r="X172" i="21"/>
  <c r="U172" i="21"/>
  <c r="S172" i="21"/>
  <c r="R172" i="21"/>
  <c r="Q172" i="21"/>
  <c r="N172" i="21"/>
  <c r="L172" i="21"/>
  <c r="K172" i="21"/>
  <c r="J172" i="21"/>
  <c r="G172" i="21"/>
  <c r="D172" i="21"/>
  <c r="AF171" i="5"/>
  <c r="AE171" i="5"/>
  <c r="AD171" i="5"/>
  <c r="H16" i="3"/>
  <c r="BW175" i="13"/>
  <c r="R213" i="21" l="1"/>
  <c r="R39" i="21"/>
  <c r="K39" i="21"/>
  <c r="K40" i="21"/>
  <c r="AB40" i="21"/>
  <c r="Z40" i="21"/>
  <c r="Y40" i="21"/>
  <c r="X40" i="21"/>
  <c r="U40" i="21"/>
  <c r="S40" i="21"/>
  <c r="R40" i="21"/>
  <c r="Q40" i="21"/>
  <c r="N40" i="21"/>
  <c r="L40" i="21"/>
  <c r="J40" i="21"/>
  <c r="G40" i="21"/>
  <c r="E131" i="13" l="1"/>
  <c r="AF40" i="5" l="1"/>
  <c r="AE40" i="5"/>
  <c r="AD40" i="5"/>
  <c r="BT235" i="13"/>
  <c r="BS235" i="13"/>
  <c r="BR235" i="13"/>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3" i="21"/>
  <c r="D77" i="21"/>
  <c r="D80" i="21"/>
  <c r="D83" i="21"/>
  <c r="D87" i="21"/>
  <c r="D90" i="21"/>
  <c r="D95" i="21"/>
  <c r="D98" i="21"/>
  <c r="D104" i="21"/>
  <c r="D107" i="21"/>
  <c r="D109" i="21"/>
  <c r="D113" i="21"/>
  <c r="D118" i="21"/>
  <c r="D122" i="21"/>
  <c r="D126" i="21"/>
  <c r="D130" i="21"/>
  <c r="D136" i="21"/>
  <c r="D141" i="21"/>
  <c r="D148" i="21"/>
  <c r="D154" i="21"/>
  <c r="D156" i="21"/>
  <c r="D158" i="21"/>
  <c r="D163" i="21"/>
  <c r="D166" i="21"/>
  <c r="D170" i="21"/>
  <c r="D171" i="21"/>
  <c r="D173" i="21"/>
  <c r="D174" i="21"/>
  <c r="D178" i="21"/>
  <c r="D182" i="21"/>
  <c r="D184" i="21"/>
  <c r="D187" i="21"/>
  <c r="D195" i="21"/>
  <c r="D200" i="21"/>
  <c r="D203" i="21"/>
  <c r="D206" i="21"/>
  <c r="D212" i="21"/>
  <c r="D213" i="21"/>
  <c r="D214" i="21"/>
  <c r="D215" i="21"/>
  <c r="D216" i="21"/>
  <c r="D217" i="21"/>
  <c r="D218" i="21"/>
  <c r="D219" i="21"/>
  <c r="D220" i="21"/>
  <c r="D221" i="21"/>
  <c r="D222" i="21"/>
  <c r="D223" i="21"/>
  <c r="D224" i="21"/>
  <c r="D225" i="21"/>
  <c r="D11" i="21"/>
  <c r="Z71" i="21" l="1"/>
  <c r="Y71" i="21"/>
  <c r="X71" i="21"/>
  <c r="U71" i="21"/>
  <c r="S71" i="21"/>
  <c r="R71" i="21"/>
  <c r="Q71" i="21"/>
  <c r="N71" i="21"/>
  <c r="L71" i="21"/>
  <c r="K71" i="21"/>
  <c r="J71" i="21"/>
  <c r="G71" i="21"/>
  <c r="G205" i="21"/>
  <c r="J205" i="21"/>
  <c r="K205" i="21"/>
  <c r="L205" i="21"/>
  <c r="N205" i="21"/>
  <c r="Q205" i="21"/>
  <c r="R205" i="21"/>
  <c r="S205" i="21"/>
  <c r="U205" i="21"/>
  <c r="X205" i="21"/>
  <c r="Y205" i="21"/>
  <c r="Z205" i="21"/>
  <c r="G206" i="21"/>
  <c r="J206" i="21"/>
  <c r="K206" i="21"/>
  <c r="L206" i="21"/>
  <c r="N206" i="21"/>
  <c r="Q206" i="21"/>
  <c r="R206" i="21"/>
  <c r="S206" i="21"/>
  <c r="U206" i="21"/>
  <c r="X206" i="21"/>
  <c r="Y206" i="21"/>
  <c r="Z206" i="21"/>
  <c r="G207" i="21"/>
  <c r="J207" i="21"/>
  <c r="K207" i="21"/>
  <c r="L207" i="21"/>
  <c r="N207" i="21"/>
  <c r="Q207" i="21"/>
  <c r="R207" i="21"/>
  <c r="S207" i="21"/>
  <c r="U207" i="21"/>
  <c r="X207" i="21"/>
  <c r="Y207" i="21"/>
  <c r="Z207" i="21"/>
  <c r="G208" i="21"/>
  <c r="J208" i="21"/>
  <c r="K208" i="21"/>
  <c r="L208" i="21"/>
  <c r="N208" i="21"/>
  <c r="Q208" i="21"/>
  <c r="R208" i="21"/>
  <c r="S208" i="21"/>
  <c r="U208" i="21"/>
  <c r="X208" i="21"/>
  <c r="Y208" i="21"/>
  <c r="Z208" i="21"/>
  <c r="G209" i="21"/>
  <c r="J209" i="21"/>
  <c r="K209" i="21"/>
  <c r="L209" i="21"/>
  <c r="N209" i="21"/>
  <c r="Q209" i="21"/>
  <c r="R209" i="21"/>
  <c r="S209" i="21"/>
  <c r="U209" i="21"/>
  <c r="X209" i="21"/>
  <c r="Y209" i="21"/>
  <c r="Z209" i="21"/>
  <c r="G184" i="21"/>
  <c r="J184" i="21"/>
  <c r="K184" i="21"/>
  <c r="L184" i="21"/>
  <c r="N184" i="21"/>
  <c r="Q184" i="21"/>
  <c r="R184" i="21"/>
  <c r="S184" i="21"/>
  <c r="U184" i="21"/>
  <c r="X184" i="21"/>
  <c r="Y184" i="21"/>
  <c r="Z184" i="21"/>
  <c r="G185" i="21"/>
  <c r="J185" i="21"/>
  <c r="K185" i="21"/>
  <c r="L185" i="21"/>
  <c r="N185" i="21"/>
  <c r="Q185" i="21"/>
  <c r="R185" i="21"/>
  <c r="S185" i="21"/>
  <c r="U185" i="21"/>
  <c r="X185" i="21"/>
  <c r="Y185" i="21"/>
  <c r="Z185" i="21"/>
  <c r="G186" i="21"/>
  <c r="J186" i="21"/>
  <c r="K186" i="21"/>
  <c r="L186" i="21"/>
  <c r="N186" i="21"/>
  <c r="Q186" i="21"/>
  <c r="R186" i="21"/>
  <c r="S186" i="21"/>
  <c r="U186" i="21"/>
  <c r="X186" i="21"/>
  <c r="Y186" i="21"/>
  <c r="Z186" i="21"/>
  <c r="G187" i="21"/>
  <c r="J187" i="21"/>
  <c r="K187" i="21"/>
  <c r="L187" i="21"/>
  <c r="N187" i="21"/>
  <c r="Q187" i="21"/>
  <c r="R187" i="21"/>
  <c r="S187" i="21"/>
  <c r="U187" i="21"/>
  <c r="X187" i="21"/>
  <c r="Y187" i="21"/>
  <c r="Z187" i="21"/>
  <c r="G188" i="21"/>
  <c r="J188" i="21"/>
  <c r="K188" i="21"/>
  <c r="L188" i="21"/>
  <c r="N188" i="21"/>
  <c r="Q188" i="21"/>
  <c r="R188" i="21"/>
  <c r="S188" i="21"/>
  <c r="U188" i="21"/>
  <c r="X188" i="21"/>
  <c r="Y188" i="21"/>
  <c r="Z188" i="21"/>
  <c r="G189" i="21"/>
  <c r="J189" i="21"/>
  <c r="K189" i="21"/>
  <c r="L189" i="21"/>
  <c r="N189" i="21"/>
  <c r="Q189" i="21"/>
  <c r="R189" i="21"/>
  <c r="S189" i="21"/>
  <c r="U189" i="21"/>
  <c r="X189" i="21"/>
  <c r="Y189" i="21"/>
  <c r="Z189" i="21"/>
  <c r="G190" i="21"/>
  <c r="J190" i="21"/>
  <c r="K190" i="21"/>
  <c r="L190" i="21"/>
  <c r="N190" i="21"/>
  <c r="Q190" i="21"/>
  <c r="R190" i="21"/>
  <c r="S190" i="21"/>
  <c r="U190" i="21"/>
  <c r="X190" i="21"/>
  <c r="Y190" i="21"/>
  <c r="Z190" i="21"/>
  <c r="G191" i="21"/>
  <c r="J191" i="21"/>
  <c r="K191" i="21"/>
  <c r="L191" i="21"/>
  <c r="N191" i="21"/>
  <c r="Q191" i="21"/>
  <c r="R191" i="21"/>
  <c r="S191" i="21"/>
  <c r="U191" i="21"/>
  <c r="X191" i="21"/>
  <c r="Y191" i="21"/>
  <c r="Z191" i="21"/>
  <c r="G192" i="21"/>
  <c r="J192" i="21"/>
  <c r="K192" i="21"/>
  <c r="L192" i="21"/>
  <c r="N192" i="21"/>
  <c r="Q192" i="21"/>
  <c r="R192" i="21"/>
  <c r="S192" i="21"/>
  <c r="U192" i="21"/>
  <c r="X192" i="21"/>
  <c r="Y192" i="21"/>
  <c r="Z192" i="21"/>
  <c r="G151" i="21"/>
  <c r="J151" i="21"/>
  <c r="K151" i="21"/>
  <c r="L151" i="21"/>
  <c r="N151" i="21"/>
  <c r="Q151" i="21"/>
  <c r="R151" i="21"/>
  <c r="S151" i="21"/>
  <c r="U151" i="21"/>
  <c r="X151" i="21"/>
  <c r="Y151" i="21"/>
  <c r="Z151" i="21"/>
  <c r="G152" i="21"/>
  <c r="J152" i="21"/>
  <c r="K152" i="21"/>
  <c r="L152" i="21"/>
  <c r="N152" i="21"/>
  <c r="Q152" i="21"/>
  <c r="R152" i="21"/>
  <c r="S152" i="21"/>
  <c r="U152" i="21"/>
  <c r="X152" i="21"/>
  <c r="Y152" i="21"/>
  <c r="Z152" i="21"/>
  <c r="G153" i="21"/>
  <c r="J153" i="21"/>
  <c r="K153" i="21"/>
  <c r="L153" i="21"/>
  <c r="N153" i="21"/>
  <c r="Q153" i="21"/>
  <c r="R153" i="21"/>
  <c r="S153" i="21"/>
  <c r="U153" i="21"/>
  <c r="X153" i="21"/>
  <c r="Y153" i="21"/>
  <c r="Z153" i="21"/>
  <c r="G154" i="21"/>
  <c r="J154" i="21"/>
  <c r="K154" i="21"/>
  <c r="L154" i="21"/>
  <c r="N154" i="21"/>
  <c r="Q154" i="21"/>
  <c r="R154" i="21"/>
  <c r="S154" i="21"/>
  <c r="U154" i="21"/>
  <c r="X154" i="21"/>
  <c r="Y154" i="21"/>
  <c r="Z154" i="21"/>
  <c r="G155" i="21"/>
  <c r="J155" i="21"/>
  <c r="K155" i="21"/>
  <c r="L155" i="21"/>
  <c r="N155" i="21"/>
  <c r="Q155" i="21"/>
  <c r="R155" i="21"/>
  <c r="S155" i="21"/>
  <c r="U155" i="21"/>
  <c r="X155" i="21"/>
  <c r="Y155" i="21"/>
  <c r="Z155" i="21"/>
  <c r="G156" i="21"/>
  <c r="J156" i="21"/>
  <c r="K156" i="21"/>
  <c r="L156" i="21"/>
  <c r="N156" i="21"/>
  <c r="Q156" i="21"/>
  <c r="R156" i="21"/>
  <c r="S156" i="21"/>
  <c r="U156" i="21"/>
  <c r="X156" i="21"/>
  <c r="Y156" i="21"/>
  <c r="Z156" i="21"/>
  <c r="G157" i="21"/>
  <c r="J157" i="21"/>
  <c r="K157" i="21"/>
  <c r="L157" i="21"/>
  <c r="N157" i="21"/>
  <c r="Q157" i="21"/>
  <c r="R157" i="21"/>
  <c r="S157" i="21"/>
  <c r="U157" i="21"/>
  <c r="X157" i="21"/>
  <c r="Y157" i="21"/>
  <c r="Z157" i="21"/>
  <c r="G158" i="21"/>
  <c r="J158" i="21"/>
  <c r="K158" i="21"/>
  <c r="L158" i="21"/>
  <c r="N158" i="21"/>
  <c r="Q158" i="21"/>
  <c r="R158" i="21"/>
  <c r="S158" i="21"/>
  <c r="U158" i="21"/>
  <c r="X158" i="21"/>
  <c r="Y158" i="21"/>
  <c r="Z158" i="21"/>
  <c r="G159" i="21"/>
  <c r="J159" i="21"/>
  <c r="K159" i="21"/>
  <c r="L159" i="21"/>
  <c r="N159" i="21"/>
  <c r="Q159" i="21"/>
  <c r="R159" i="21"/>
  <c r="S159" i="21"/>
  <c r="U159" i="21"/>
  <c r="X159" i="21"/>
  <c r="Y159" i="21"/>
  <c r="Z159" i="21"/>
  <c r="G160" i="21"/>
  <c r="J160" i="21"/>
  <c r="K160" i="21"/>
  <c r="L160" i="21"/>
  <c r="N160" i="21"/>
  <c r="Q160" i="21"/>
  <c r="R160" i="21"/>
  <c r="S160" i="21"/>
  <c r="U160" i="21"/>
  <c r="X160" i="21"/>
  <c r="Y160" i="21"/>
  <c r="Z160" i="21"/>
  <c r="G143" i="21"/>
  <c r="J143" i="21"/>
  <c r="K143" i="21"/>
  <c r="L143" i="21"/>
  <c r="N143" i="21"/>
  <c r="Q143" i="21"/>
  <c r="R143" i="21"/>
  <c r="S143" i="21"/>
  <c r="U143" i="21"/>
  <c r="X143" i="21"/>
  <c r="Y143" i="21"/>
  <c r="Z143" i="21"/>
  <c r="G144" i="21"/>
  <c r="J144" i="21"/>
  <c r="K144" i="21"/>
  <c r="L144" i="21"/>
  <c r="N144" i="21"/>
  <c r="Q144" i="21"/>
  <c r="R144" i="21"/>
  <c r="S144" i="21"/>
  <c r="U144" i="21"/>
  <c r="X144" i="21"/>
  <c r="Y144" i="21"/>
  <c r="Z144" i="21"/>
  <c r="G145" i="21"/>
  <c r="J145" i="21"/>
  <c r="K145" i="21"/>
  <c r="L145" i="21"/>
  <c r="N145" i="21"/>
  <c r="Q145" i="21"/>
  <c r="R145" i="21"/>
  <c r="S145" i="21"/>
  <c r="U145" i="21"/>
  <c r="X145" i="21"/>
  <c r="Y145" i="21"/>
  <c r="Z145" i="21"/>
  <c r="G114" i="21"/>
  <c r="J114" i="21"/>
  <c r="K114" i="21"/>
  <c r="L114" i="21"/>
  <c r="N114" i="21"/>
  <c r="Q114" i="21"/>
  <c r="R114" i="21"/>
  <c r="S114" i="21"/>
  <c r="U114" i="21"/>
  <c r="X114" i="21"/>
  <c r="Y114" i="21"/>
  <c r="Z114" i="21"/>
  <c r="G115" i="21"/>
  <c r="J115" i="21"/>
  <c r="K115" i="21"/>
  <c r="L115" i="21"/>
  <c r="N115" i="21"/>
  <c r="Q115" i="21"/>
  <c r="R115" i="21"/>
  <c r="S115" i="21"/>
  <c r="U115" i="21"/>
  <c r="X115" i="21"/>
  <c r="Y115" i="21"/>
  <c r="Z115" i="21"/>
  <c r="AB117" i="21"/>
  <c r="AF117" i="21"/>
  <c r="G223" i="21"/>
  <c r="J223" i="21"/>
  <c r="K223" i="21"/>
  <c r="L223" i="21"/>
  <c r="N223" i="21"/>
  <c r="Q223" i="21"/>
  <c r="R223" i="21"/>
  <c r="S223" i="21"/>
  <c r="U223" i="21"/>
  <c r="X223" i="21"/>
  <c r="Y223" i="21"/>
  <c r="Z223" i="21"/>
  <c r="G224" i="21"/>
  <c r="J224" i="21"/>
  <c r="K224" i="21"/>
  <c r="L224" i="21"/>
  <c r="N224" i="21"/>
  <c r="Q224" i="21"/>
  <c r="R224" i="21"/>
  <c r="S224" i="21"/>
  <c r="U224" i="21"/>
  <c r="X224" i="21"/>
  <c r="Y224" i="21"/>
  <c r="Z224" i="21"/>
  <c r="G225" i="21"/>
  <c r="J225" i="21"/>
  <c r="K225" i="21"/>
  <c r="L225" i="21"/>
  <c r="N225" i="21"/>
  <c r="Q225" i="21"/>
  <c r="R225" i="21"/>
  <c r="S225" i="21"/>
  <c r="U225" i="21"/>
  <c r="X225" i="21"/>
  <c r="Y225" i="21"/>
  <c r="Z225" i="21"/>
  <c r="G226" i="21"/>
  <c r="J226" i="21"/>
  <c r="K226" i="21"/>
  <c r="L226" i="21"/>
  <c r="N226" i="21"/>
  <c r="Q226" i="21"/>
  <c r="R226" i="21"/>
  <c r="S226" i="21"/>
  <c r="U226" i="21"/>
  <c r="X226" i="21"/>
  <c r="Y226" i="21"/>
  <c r="Z226" i="21"/>
  <c r="AF137" i="5" l="1"/>
  <c r="AE137" i="5"/>
  <c r="AD137" i="5"/>
  <c r="C137" i="5"/>
  <c r="D137" i="21" s="1"/>
  <c r="C138" i="5"/>
  <c r="D138" i="21" s="1"/>
  <c r="BP158" i="13"/>
  <c r="BP156" i="13"/>
  <c r="BP114" i="13"/>
  <c r="BQ255" i="13"/>
  <c r="BQ254" i="13"/>
  <c r="BQ253" i="13"/>
  <c r="AF149" i="5"/>
  <c r="AE149" i="5"/>
  <c r="AD149" i="5"/>
  <c r="AF105" i="5"/>
  <c r="AE105" i="5"/>
  <c r="AD105" i="5"/>
  <c r="C149" i="5"/>
  <c r="D149" i="21" s="1"/>
  <c r="C150" i="5"/>
  <c r="D150" i="21" s="1"/>
  <c r="AF70" i="5"/>
  <c r="AE70" i="5"/>
  <c r="AD70" i="5"/>
  <c r="C105" i="5"/>
  <c r="D105" i="21" s="1"/>
  <c r="C106" i="5"/>
  <c r="D106" i="21" s="1"/>
  <c r="BQ251" i="13"/>
  <c r="U94" i="13" l="1"/>
  <c r="U93" i="13" s="1"/>
  <c r="AF36" i="21"/>
  <c r="AF37" i="21"/>
  <c r="AF64" i="21"/>
  <c r="AF65" i="21"/>
  <c r="AF93" i="21"/>
  <c r="AF94" i="21"/>
  <c r="AF102" i="21"/>
  <c r="AF103" i="21"/>
  <c r="AF116" i="21"/>
  <c r="Z222" i="21"/>
  <c r="Y222" i="21"/>
  <c r="X222" i="21"/>
  <c r="U222" i="21"/>
  <c r="S222" i="21"/>
  <c r="R222" i="21"/>
  <c r="Q222" i="21"/>
  <c r="N222" i="21"/>
  <c r="L222" i="21"/>
  <c r="K222" i="21"/>
  <c r="J222" i="21"/>
  <c r="G222" i="21"/>
  <c r="Z221" i="21"/>
  <c r="Y221" i="21"/>
  <c r="X221" i="21"/>
  <c r="U221" i="21"/>
  <c r="S221" i="21"/>
  <c r="R221" i="21"/>
  <c r="Q221" i="21"/>
  <c r="N221" i="21"/>
  <c r="L221" i="21"/>
  <c r="K221" i="21"/>
  <c r="J221" i="21"/>
  <c r="G221" i="21"/>
  <c r="Z220" i="21"/>
  <c r="Y220" i="21"/>
  <c r="X220" i="21"/>
  <c r="U220" i="21"/>
  <c r="S220" i="21"/>
  <c r="R220" i="21"/>
  <c r="Q220" i="21"/>
  <c r="N220" i="21"/>
  <c r="L220" i="21"/>
  <c r="K220" i="21"/>
  <c r="J220" i="21"/>
  <c r="G220" i="21"/>
  <c r="Z219" i="21"/>
  <c r="Y219" i="21"/>
  <c r="X219" i="21"/>
  <c r="U219" i="21"/>
  <c r="S219" i="21"/>
  <c r="R219" i="21"/>
  <c r="Q219" i="21"/>
  <c r="N219" i="21"/>
  <c r="L219" i="21"/>
  <c r="K219" i="21"/>
  <c r="J219" i="21"/>
  <c r="G219" i="21"/>
  <c r="Z218" i="21"/>
  <c r="Y218" i="21"/>
  <c r="X218" i="21"/>
  <c r="U218" i="21"/>
  <c r="S218" i="21"/>
  <c r="R218" i="21"/>
  <c r="Q218" i="21"/>
  <c r="N218" i="21"/>
  <c r="L218" i="21"/>
  <c r="K218" i="21"/>
  <c r="J218" i="21"/>
  <c r="G218" i="21"/>
  <c r="Z217" i="21"/>
  <c r="Y217" i="21"/>
  <c r="X217" i="21"/>
  <c r="U217" i="21"/>
  <c r="S217" i="21"/>
  <c r="R217" i="21"/>
  <c r="Q217" i="21"/>
  <c r="N217" i="21"/>
  <c r="L217" i="21"/>
  <c r="K217" i="21"/>
  <c r="J217" i="21"/>
  <c r="G217" i="21"/>
  <c r="Z216" i="21"/>
  <c r="Y216" i="21"/>
  <c r="X216" i="21"/>
  <c r="U216" i="21"/>
  <c r="S216" i="21"/>
  <c r="R216" i="21"/>
  <c r="Q216" i="21"/>
  <c r="N216" i="21"/>
  <c r="L216" i="21"/>
  <c r="K216" i="21"/>
  <c r="J216" i="21"/>
  <c r="G216" i="21"/>
  <c r="Z215" i="21"/>
  <c r="Y215" i="21"/>
  <c r="X215" i="21"/>
  <c r="U215" i="21"/>
  <c r="S215" i="21"/>
  <c r="R215" i="21"/>
  <c r="Q215" i="21"/>
  <c r="N215" i="21"/>
  <c r="L215" i="21"/>
  <c r="K215" i="21"/>
  <c r="J215" i="21"/>
  <c r="G215" i="21"/>
  <c r="Z214" i="21"/>
  <c r="Y214" i="21"/>
  <c r="X214" i="21"/>
  <c r="U214" i="21"/>
  <c r="S214" i="21"/>
  <c r="R214" i="21"/>
  <c r="Q214" i="21"/>
  <c r="N214" i="21"/>
  <c r="L214" i="21"/>
  <c r="K214" i="21"/>
  <c r="J214" i="21"/>
  <c r="G214" i="21"/>
  <c r="Z213" i="21"/>
  <c r="Y213" i="21"/>
  <c r="X213" i="21"/>
  <c r="U213" i="21"/>
  <c r="S213" i="21"/>
  <c r="Q213" i="21"/>
  <c r="N213" i="21"/>
  <c r="L213" i="21"/>
  <c r="K213" i="21"/>
  <c r="J213" i="21"/>
  <c r="G213" i="21"/>
  <c r="Z212" i="21"/>
  <c r="Y212" i="21"/>
  <c r="X212" i="21"/>
  <c r="U212" i="21"/>
  <c r="S212" i="21"/>
  <c r="R212" i="21"/>
  <c r="Q212" i="21"/>
  <c r="N212" i="21"/>
  <c r="L212" i="21"/>
  <c r="K212" i="21"/>
  <c r="J212" i="21"/>
  <c r="G212" i="21"/>
  <c r="Z204" i="21"/>
  <c r="Y204" i="21"/>
  <c r="X204" i="21"/>
  <c r="U204" i="21"/>
  <c r="S204" i="21"/>
  <c r="R204" i="21"/>
  <c r="Q204" i="21"/>
  <c r="N204" i="21"/>
  <c r="L204" i="21"/>
  <c r="K204" i="21"/>
  <c r="J204" i="21"/>
  <c r="G204" i="21"/>
  <c r="Z203" i="21"/>
  <c r="Y203" i="21"/>
  <c r="X203" i="21"/>
  <c r="U203" i="21"/>
  <c r="S203" i="21"/>
  <c r="R203" i="21"/>
  <c r="Q203" i="21"/>
  <c r="N203" i="21"/>
  <c r="L203" i="21"/>
  <c r="K203" i="21"/>
  <c r="J203" i="21"/>
  <c r="G203" i="21"/>
  <c r="Z202" i="21"/>
  <c r="Y202" i="21"/>
  <c r="X202" i="21"/>
  <c r="U202" i="21"/>
  <c r="S202" i="21"/>
  <c r="R202" i="21"/>
  <c r="Q202" i="21"/>
  <c r="N202" i="21"/>
  <c r="L202" i="21"/>
  <c r="K202" i="21"/>
  <c r="J202" i="21"/>
  <c r="G202" i="21"/>
  <c r="Z201" i="21"/>
  <c r="Y201" i="21"/>
  <c r="X201" i="21"/>
  <c r="U201" i="21"/>
  <c r="S201" i="21"/>
  <c r="R201" i="21"/>
  <c r="Q201" i="21"/>
  <c r="N201" i="21"/>
  <c r="L201" i="21"/>
  <c r="K201" i="21"/>
  <c r="J201" i="21"/>
  <c r="G201" i="21"/>
  <c r="Z200" i="21"/>
  <c r="Y200" i="21"/>
  <c r="X200" i="21"/>
  <c r="U200" i="21"/>
  <c r="S200" i="21"/>
  <c r="R200" i="21"/>
  <c r="Q200" i="21"/>
  <c r="N200" i="21"/>
  <c r="L200" i="21"/>
  <c r="K200" i="21"/>
  <c r="J200" i="21"/>
  <c r="G200" i="21"/>
  <c r="Z199" i="21"/>
  <c r="Y199" i="21"/>
  <c r="X199" i="21"/>
  <c r="U199" i="21"/>
  <c r="S199" i="21"/>
  <c r="R199" i="21"/>
  <c r="Q199" i="21"/>
  <c r="N199" i="21"/>
  <c r="L199" i="21"/>
  <c r="K199" i="21"/>
  <c r="J199" i="21"/>
  <c r="G199" i="21"/>
  <c r="Z198" i="21"/>
  <c r="Y198" i="21"/>
  <c r="X198" i="21"/>
  <c r="U198" i="21"/>
  <c r="S198" i="21"/>
  <c r="R198" i="21"/>
  <c r="Q198" i="21"/>
  <c r="N198" i="21"/>
  <c r="L198" i="21"/>
  <c r="K198" i="21"/>
  <c r="J198" i="21"/>
  <c r="G198" i="21"/>
  <c r="Z197" i="21"/>
  <c r="Y197" i="21"/>
  <c r="X197" i="21"/>
  <c r="U197" i="21"/>
  <c r="S197" i="21"/>
  <c r="R197" i="21"/>
  <c r="Q197" i="21"/>
  <c r="N197" i="21"/>
  <c r="L197" i="21"/>
  <c r="K197" i="21"/>
  <c r="J197" i="21"/>
  <c r="G197" i="21"/>
  <c r="Z196" i="21"/>
  <c r="Y196" i="21"/>
  <c r="X196" i="21"/>
  <c r="U196" i="21"/>
  <c r="S196" i="21"/>
  <c r="R196" i="21"/>
  <c r="Q196" i="21"/>
  <c r="N196" i="21"/>
  <c r="L196" i="21"/>
  <c r="K196" i="21"/>
  <c r="J196" i="21"/>
  <c r="G196" i="21"/>
  <c r="Z195" i="21"/>
  <c r="Y195" i="21"/>
  <c r="X195" i="21"/>
  <c r="U195" i="21"/>
  <c r="S195" i="21"/>
  <c r="R195" i="21"/>
  <c r="Q195" i="21"/>
  <c r="N195" i="21"/>
  <c r="L195" i="21"/>
  <c r="K195" i="21"/>
  <c r="J195" i="21"/>
  <c r="G195" i="21"/>
  <c r="Z183" i="21"/>
  <c r="Y183" i="21"/>
  <c r="X183" i="21"/>
  <c r="U183" i="21"/>
  <c r="S183" i="21"/>
  <c r="R183" i="21"/>
  <c r="Q183" i="21"/>
  <c r="N183" i="21"/>
  <c r="L183" i="21"/>
  <c r="K183" i="21"/>
  <c r="J183" i="21"/>
  <c r="G183" i="21"/>
  <c r="Z182" i="21"/>
  <c r="Y182" i="21"/>
  <c r="X182" i="21"/>
  <c r="U182" i="21"/>
  <c r="S182" i="21"/>
  <c r="R182" i="21"/>
  <c r="Q182" i="21"/>
  <c r="N182" i="21"/>
  <c r="L182" i="21"/>
  <c r="K182" i="21"/>
  <c r="J182" i="21"/>
  <c r="G182" i="21"/>
  <c r="Z181" i="21"/>
  <c r="Y181" i="21"/>
  <c r="X181" i="21"/>
  <c r="U181" i="21"/>
  <c r="S181" i="21"/>
  <c r="R181" i="21"/>
  <c r="Q181" i="21"/>
  <c r="N181" i="21"/>
  <c r="L181" i="21"/>
  <c r="K181" i="21"/>
  <c r="J181" i="21"/>
  <c r="G181" i="21"/>
  <c r="Z180" i="21"/>
  <c r="Y180" i="21"/>
  <c r="X180" i="21"/>
  <c r="U180" i="21"/>
  <c r="S180" i="21"/>
  <c r="R180" i="21"/>
  <c r="Q180" i="21"/>
  <c r="N180" i="21"/>
  <c r="L180" i="21"/>
  <c r="K180" i="21"/>
  <c r="J180" i="21"/>
  <c r="G180" i="21"/>
  <c r="Z179" i="21"/>
  <c r="Y179" i="21"/>
  <c r="X179" i="21"/>
  <c r="U179" i="21"/>
  <c r="S179" i="21"/>
  <c r="R179" i="21"/>
  <c r="Q179" i="21"/>
  <c r="N179" i="21"/>
  <c r="L179" i="21"/>
  <c r="K179" i="21"/>
  <c r="J179" i="21"/>
  <c r="G179" i="21"/>
  <c r="Z178" i="21"/>
  <c r="Y178" i="21"/>
  <c r="X178" i="21"/>
  <c r="U178" i="21"/>
  <c r="S178" i="21"/>
  <c r="R178" i="21"/>
  <c r="Q178" i="21"/>
  <c r="N178" i="21"/>
  <c r="L178" i="21"/>
  <c r="K178" i="21"/>
  <c r="J178" i="21"/>
  <c r="G178" i="21"/>
  <c r="Z177" i="21"/>
  <c r="Y177" i="21"/>
  <c r="X177" i="21"/>
  <c r="U177" i="21"/>
  <c r="S177" i="21"/>
  <c r="R177" i="21"/>
  <c r="Q177" i="21"/>
  <c r="N177" i="21"/>
  <c r="L177" i="21"/>
  <c r="K177" i="21"/>
  <c r="J177" i="21"/>
  <c r="G177" i="21"/>
  <c r="Z176" i="21"/>
  <c r="Y176" i="21"/>
  <c r="X176" i="21"/>
  <c r="U176" i="21"/>
  <c r="S176" i="21"/>
  <c r="R176" i="21"/>
  <c r="Q176" i="21"/>
  <c r="N176" i="21"/>
  <c r="L176" i="21"/>
  <c r="K176" i="21"/>
  <c r="J176" i="21"/>
  <c r="G176" i="21"/>
  <c r="Z175" i="21"/>
  <c r="Y175" i="21"/>
  <c r="X175" i="21"/>
  <c r="U175" i="21"/>
  <c r="S175" i="21"/>
  <c r="R175" i="21"/>
  <c r="Q175" i="21"/>
  <c r="N175" i="21"/>
  <c r="L175" i="21"/>
  <c r="K175" i="21"/>
  <c r="J175" i="21"/>
  <c r="G175" i="21"/>
  <c r="Z174" i="21"/>
  <c r="Y174" i="21"/>
  <c r="X174" i="21"/>
  <c r="U174" i="21"/>
  <c r="S174" i="21"/>
  <c r="R174" i="21"/>
  <c r="Q174" i="21"/>
  <c r="N174" i="21"/>
  <c r="L174" i="21"/>
  <c r="K174" i="21"/>
  <c r="J174" i="21"/>
  <c r="G174" i="21"/>
  <c r="Z173" i="21"/>
  <c r="Y173" i="21"/>
  <c r="X173" i="21"/>
  <c r="U173" i="21"/>
  <c r="S173" i="21"/>
  <c r="R173" i="21"/>
  <c r="Q173" i="21"/>
  <c r="N173" i="21"/>
  <c r="L173" i="21"/>
  <c r="K173" i="21"/>
  <c r="J173" i="21"/>
  <c r="G173" i="21"/>
  <c r="Z171" i="21"/>
  <c r="Y171" i="21"/>
  <c r="X171" i="21"/>
  <c r="U171" i="21"/>
  <c r="S171" i="21"/>
  <c r="R171" i="21"/>
  <c r="Q171" i="21"/>
  <c r="N171" i="21"/>
  <c r="L171" i="21"/>
  <c r="K171" i="21"/>
  <c r="J171" i="21"/>
  <c r="G171" i="21"/>
  <c r="Z170" i="21"/>
  <c r="Y170" i="21"/>
  <c r="X170" i="21"/>
  <c r="U170" i="21"/>
  <c r="S170" i="21"/>
  <c r="R170" i="21"/>
  <c r="Q170" i="21"/>
  <c r="N170" i="21"/>
  <c r="L170" i="21"/>
  <c r="K170" i="21"/>
  <c r="J170" i="21"/>
  <c r="G170" i="21"/>
  <c r="Z169" i="21"/>
  <c r="Y169" i="21"/>
  <c r="X169" i="21"/>
  <c r="U169" i="21"/>
  <c r="S169" i="21"/>
  <c r="R169" i="21"/>
  <c r="Q169" i="21"/>
  <c r="N169" i="21"/>
  <c r="L169" i="21"/>
  <c r="K169" i="21"/>
  <c r="J169" i="21"/>
  <c r="G169" i="21"/>
  <c r="Z168" i="21"/>
  <c r="Y168" i="21"/>
  <c r="X168" i="21"/>
  <c r="U168" i="21"/>
  <c r="S168" i="21"/>
  <c r="R168" i="21"/>
  <c r="Q168" i="21"/>
  <c r="N168" i="21"/>
  <c r="L168" i="21"/>
  <c r="K168" i="21"/>
  <c r="J168" i="21"/>
  <c r="G168" i="21"/>
  <c r="Z167" i="21"/>
  <c r="Y167" i="21"/>
  <c r="X167" i="21"/>
  <c r="U167" i="21"/>
  <c r="S167" i="21"/>
  <c r="R167" i="21"/>
  <c r="Q167" i="21"/>
  <c r="N167" i="21"/>
  <c r="L167" i="21"/>
  <c r="K167" i="21"/>
  <c r="J167" i="21"/>
  <c r="G167" i="21"/>
  <c r="Z166" i="21"/>
  <c r="Y166" i="21"/>
  <c r="X166" i="21"/>
  <c r="U166" i="21"/>
  <c r="S166" i="21"/>
  <c r="R166" i="21"/>
  <c r="Q166" i="21"/>
  <c r="N166" i="21"/>
  <c r="L166" i="21"/>
  <c r="K166" i="21"/>
  <c r="J166" i="21"/>
  <c r="G166" i="21"/>
  <c r="Z165" i="21"/>
  <c r="Y165" i="21"/>
  <c r="X165" i="21"/>
  <c r="U165" i="21"/>
  <c r="S165" i="21"/>
  <c r="R165" i="21"/>
  <c r="Q165" i="21"/>
  <c r="N165" i="21"/>
  <c r="L165" i="21"/>
  <c r="K165" i="21"/>
  <c r="J165" i="21"/>
  <c r="G165" i="21"/>
  <c r="Z164" i="21"/>
  <c r="Y164" i="21"/>
  <c r="X164" i="21"/>
  <c r="U164" i="21"/>
  <c r="S164" i="21"/>
  <c r="R164" i="21"/>
  <c r="Q164" i="21"/>
  <c r="N164" i="21"/>
  <c r="L164" i="21"/>
  <c r="K164" i="21"/>
  <c r="J164" i="21"/>
  <c r="G164" i="21"/>
  <c r="Z163" i="21"/>
  <c r="Y163" i="21"/>
  <c r="X163" i="21"/>
  <c r="U163" i="21"/>
  <c r="S163" i="21"/>
  <c r="R163" i="21"/>
  <c r="Q163" i="21"/>
  <c r="N163" i="21"/>
  <c r="L163" i="21"/>
  <c r="K163" i="21"/>
  <c r="J163" i="21"/>
  <c r="G163" i="21"/>
  <c r="Z150" i="21"/>
  <c r="Y150" i="21"/>
  <c r="X150" i="21"/>
  <c r="U150" i="21"/>
  <c r="S150" i="21"/>
  <c r="R150" i="21"/>
  <c r="Q150" i="21"/>
  <c r="N150" i="21"/>
  <c r="L150" i="21"/>
  <c r="K150" i="21"/>
  <c r="J150" i="21"/>
  <c r="G150" i="21"/>
  <c r="Z149" i="21"/>
  <c r="Y149" i="21"/>
  <c r="X149" i="21"/>
  <c r="U149" i="21"/>
  <c r="S149" i="21"/>
  <c r="R149" i="21"/>
  <c r="Q149" i="21"/>
  <c r="N149" i="21"/>
  <c r="L149" i="21"/>
  <c r="K149" i="21"/>
  <c r="J149" i="21"/>
  <c r="G149" i="21"/>
  <c r="Z148" i="21"/>
  <c r="Y148" i="21"/>
  <c r="X148" i="21"/>
  <c r="U148" i="21"/>
  <c r="S148" i="21"/>
  <c r="R148" i="21"/>
  <c r="Q148" i="21"/>
  <c r="N148" i="21"/>
  <c r="L148" i="21"/>
  <c r="K148" i="21"/>
  <c r="J148" i="21"/>
  <c r="G148" i="21"/>
  <c r="Z142" i="21"/>
  <c r="Y142" i="21"/>
  <c r="X142" i="21"/>
  <c r="U142" i="21"/>
  <c r="S142" i="21"/>
  <c r="R142" i="21"/>
  <c r="Q142" i="21"/>
  <c r="N142" i="21"/>
  <c r="L142" i="21"/>
  <c r="K142" i="21"/>
  <c r="J142" i="21"/>
  <c r="G142" i="21"/>
  <c r="Z141" i="21"/>
  <c r="Y141" i="21"/>
  <c r="X141" i="21"/>
  <c r="U141" i="21"/>
  <c r="S141" i="21"/>
  <c r="R141" i="21"/>
  <c r="Q141" i="21"/>
  <c r="N141" i="21"/>
  <c r="L141" i="21"/>
  <c r="K141" i="21"/>
  <c r="J141" i="21"/>
  <c r="G141" i="21"/>
  <c r="Z140" i="21"/>
  <c r="Y140" i="21"/>
  <c r="X140" i="21"/>
  <c r="U140" i="21"/>
  <c r="S140" i="21"/>
  <c r="R140" i="21"/>
  <c r="Q140" i="21"/>
  <c r="N140" i="21"/>
  <c r="L140" i="21"/>
  <c r="K140" i="21"/>
  <c r="J140" i="21"/>
  <c r="G140" i="21"/>
  <c r="Z139" i="21"/>
  <c r="Y139" i="21"/>
  <c r="X139" i="21"/>
  <c r="U139" i="21"/>
  <c r="S139" i="21"/>
  <c r="R139" i="21"/>
  <c r="Q139" i="21"/>
  <c r="N139" i="21"/>
  <c r="L139" i="21"/>
  <c r="K139" i="21"/>
  <c r="J139" i="21"/>
  <c r="G139" i="21"/>
  <c r="Z138" i="21"/>
  <c r="Y138" i="21"/>
  <c r="X138" i="21"/>
  <c r="U138" i="21"/>
  <c r="S138" i="21"/>
  <c r="R138" i="21"/>
  <c r="Q138" i="21"/>
  <c r="N138" i="21"/>
  <c r="L138" i="21"/>
  <c r="K138" i="21"/>
  <c r="J138" i="21"/>
  <c r="G138" i="21"/>
  <c r="Z137" i="21"/>
  <c r="Y137" i="21"/>
  <c r="X137" i="21"/>
  <c r="U137" i="21"/>
  <c r="S137" i="21"/>
  <c r="R137" i="21"/>
  <c r="Q137" i="21"/>
  <c r="N137" i="21"/>
  <c r="L137" i="21"/>
  <c r="K137" i="21"/>
  <c r="J137" i="21"/>
  <c r="G137" i="21"/>
  <c r="Z136" i="21"/>
  <c r="Y136" i="21"/>
  <c r="X136" i="21"/>
  <c r="U136" i="21"/>
  <c r="S136" i="21"/>
  <c r="R136" i="21"/>
  <c r="Q136" i="21"/>
  <c r="N136" i="21"/>
  <c r="L136" i="21"/>
  <c r="K136" i="21"/>
  <c r="J136" i="21"/>
  <c r="G136" i="21"/>
  <c r="Z135" i="21"/>
  <c r="Y135" i="21"/>
  <c r="X135" i="21"/>
  <c r="U135" i="21"/>
  <c r="S135" i="21"/>
  <c r="R135" i="21"/>
  <c r="Q135" i="21"/>
  <c r="N135" i="21"/>
  <c r="L135" i="21"/>
  <c r="K135" i="21"/>
  <c r="J135" i="21"/>
  <c r="G135" i="21"/>
  <c r="Z134" i="21"/>
  <c r="Y134" i="21"/>
  <c r="X134" i="21"/>
  <c r="U134" i="21"/>
  <c r="S134" i="21"/>
  <c r="R134" i="21"/>
  <c r="Q134" i="21"/>
  <c r="N134" i="21"/>
  <c r="L134" i="21"/>
  <c r="K134" i="21"/>
  <c r="J134" i="21"/>
  <c r="G134" i="21"/>
  <c r="Z133" i="21"/>
  <c r="Y133" i="21"/>
  <c r="X133" i="21"/>
  <c r="U133" i="21"/>
  <c r="S133" i="21"/>
  <c r="R133" i="21"/>
  <c r="Q133" i="21"/>
  <c r="N133" i="21"/>
  <c r="L133" i="21"/>
  <c r="K133" i="21"/>
  <c r="J133" i="21"/>
  <c r="G133" i="21"/>
  <c r="Z132" i="21"/>
  <c r="Y132" i="21"/>
  <c r="X132" i="21"/>
  <c r="U132" i="21"/>
  <c r="S132" i="21"/>
  <c r="R132" i="21"/>
  <c r="Q132" i="21"/>
  <c r="N132" i="21"/>
  <c r="L132" i="21"/>
  <c r="K132" i="21"/>
  <c r="J132" i="21"/>
  <c r="G132" i="21"/>
  <c r="Z131" i="21"/>
  <c r="Y131" i="21"/>
  <c r="X131" i="21"/>
  <c r="U131" i="21"/>
  <c r="S131" i="21"/>
  <c r="R131" i="21"/>
  <c r="Q131" i="21"/>
  <c r="N131" i="21"/>
  <c r="L131" i="21"/>
  <c r="K131" i="21"/>
  <c r="J131" i="21"/>
  <c r="G131" i="21"/>
  <c r="Z130" i="21"/>
  <c r="Y130" i="21"/>
  <c r="X130" i="21"/>
  <c r="U130" i="21"/>
  <c r="S130" i="21"/>
  <c r="R130" i="21"/>
  <c r="Q130" i="21"/>
  <c r="N130" i="21"/>
  <c r="L130" i="21"/>
  <c r="K130" i="21"/>
  <c r="J130" i="21"/>
  <c r="G130" i="21"/>
  <c r="Z129" i="21"/>
  <c r="Y129" i="21"/>
  <c r="X129" i="21"/>
  <c r="U129" i="21"/>
  <c r="S129" i="21"/>
  <c r="R129" i="21"/>
  <c r="Q129" i="21"/>
  <c r="N129" i="21"/>
  <c r="L129" i="21"/>
  <c r="K129" i="21"/>
  <c r="J129" i="21"/>
  <c r="G129" i="21"/>
  <c r="Z128" i="21"/>
  <c r="Y128" i="21"/>
  <c r="X128" i="21"/>
  <c r="U128" i="21"/>
  <c r="S128" i="21"/>
  <c r="R128" i="21"/>
  <c r="Q128" i="21"/>
  <c r="N128" i="21"/>
  <c r="L128" i="21"/>
  <c r="K128" i="21"/>
  <c r="J128" i="21"/>
  <c r="G128" i="21"/>
  <c r="Z127" i="21"/>
  <c r="Y127" i="21"/>
  <c r="X127" i="21"/>
  <c r="U127" i="21"/>
  <c r="S127" i="21"/>
  <c r="R127" i="21"/>
  <c r="Q127" i="21"/>
  <c r="N127" i="21"/>
  <c r="L127" i="21"/>
  <c r="K127" i="21"/>
  <c r="J127" i="21"/>
  <c r="G127" i="21"/>
  <c r="Z126" i="21"/>
  <c r="Y126" i="21"/>
  <c r="X126" i="21"/>
  <c r="U126" i="21"/>
  <c r="S126" i="21"/>
  <c r="R126" i="21"/>
  <c r="Q126" i="21"/>
  <c r="N126" i="21"/>
  <c r="L126" i="21"/>
  <c r="K126" i="21"/>
  <c r="J126" i="21"/>
  <c r="G126" i="21"/>
  <c r="Z125" i="21"/>
  <c r="Y125" i="21"/>
  <c r="X125" i="21"/>
  <c r="U125" i="21"/>
  <c r="S125" i="21"/>
  <c r="R125" i="21"/>
  <c r="Q125" i="21"/>
  <c r="N125" i="21"/>
  <c r="L125" i="21"/>
  <c r="K125" i="21"/>
  <c r="J125" i="21"/>
  <c r="G125" i="21"/>
  <c r="Z124" i="21"/>
  <c r="Y124" i="21"/>
  <c r="X124" i="21"/>
  <c r="U124" i="21"/>
  <c r="S124" i="21"/>
  <c r="R124" i="21"/>
  <c r="Q124" i="21"/>
  <c r="N124" i="21"/>
  <c r="L124" i="21"/>
  <c r="K124" i="21"/>
  <c r="J124" i="21"/>
  <c r="G124" i="21"/>
  <c r="Z123" i="21"/>
  <c r="Y123" i="21"/>
  <c r="X123" i="21"/>
  <c r="U123" i="21"/>
  <c r="S123" i="21"/>
  <c r="R123" i="21"/>
  <c r="Q123" i="21"/>
  <c r="N123" i="21"/>
  <c r="L123" i="21"/>
  <c r="K123" i="21"/>
  <c r="J123" i="21"/>
  <c r="G123" i="21"/>
  <c r="Z122" i="21"/>
  <c r="Y122" i="21"/>
  <c r="X122" i="21"/>
  <c r="U122" i="21"/>
  <c r="S122" i="21"/>
  <c r="R122" i="21"/>
  <c r="Q122" i="21"/>
  <c r="N122" i="21"/>
  <c r="L122" i="21"/>
  <c r="K122" i="21"/>
  <c r="J122" i="21"/>
  <c r="G122" i="21"/>
  <c r="Z121" i="21"/>
  <c r="Y121" i="21"/>
  <c r="X121" i="21"/>
  <c r="U121" i="21"/>
  <c r="S121" i="21"/>
  <c r="R121" i="21"/>
  <c r="Q121" i="21"/>
  <c r="N121" i="21"/>
  <c r="L121" i="21"/>
  <c r="K121" i="21"/>
  <c r="J121" i="21"/>
  <c r="G121" i="21"/>
  <c r="Z120" i="21"/>
  <c r="Y120" i="21"/>
  <c r="X120" i="21"/>
  <c r="U120" i="21"/>
  <c r="S120" i="21"/>
  <c r="R120" i="21"/>
  <c r="Q120" i="21"/>
  <c r="N120" i="21"/>
  <c r="L120" i="21"/>
  <c r="K120" i="21"/>
  <c r="J120" i="21"/>
  <c r="G120" i="21"/>
  <c r="Z119" i="21"/>
  <c r="Y119" i="21"/>
  <c r="X119" i="21"/>
  <c r="U119" i="21"/>
  <c r="S119" i="21"/>
  <c r="R119" i="21"/>
  <c r="Q119" i="21"/>
  <c r="N119" i="21"/>
  <c r="L119" i="21"/>
  <c r="K119" i="21"/>
  <c r="J119" i="21"/>
  <c r="G119" i="21"/>
  <c r="Z118" i="21"/>
  <c r="Y118" i="21"/>
  <c r="X118" i="21"/>
  <c r="U118" i="21"/>
  <c r="S118" i="21"/>
  <c r="R118" i="21"/>
  <c r="Q118" i="21"/>
  <c r="N118" i="21"/>
  <c r="L118" i="21"/>
  <c r="K118" i="21"/>
  <c r="J118" i="21"/>
  <c r="G118" i="21"/>
  <c r="Z113" i="21"/>
  <c r="Y113" i="21"/>
  <c r="X113" i="21"/>
  <c r="U113" i="21"/>
  <c r="S113" i="21"/>
  <c r="R113" i="21"/>
  <c r="Q113" i="21"/>
  <c r="N113" i="21"/>
  <c r="L113" i="21"/>
  <c r="K113" i="21"/>
  <c r="J113" i="21"/>
  <c r="G113" i="21"/>
  <c r="Z112" i="21"/>
  <c r="Y112" i="21"/>
  <c r="X112" i="21"/>
  <c r="U112" i="21"/>
  <c r="S112" i="21"/>
  <c r="R112" i="21"/>
  <c r="Q112" i="21"/>
  <c r="N112" i="21"/>
  <c r="L112" i="21"/>
  <c r="K112" i="21"/>
  <c r="J112" i="21"/>
  <c r="G112" i="21"/>
  <c r="Z111" i="21"/>
  <c r="Y111" i="21"/>
  <c r="X111" i="21"/>
  <c r="U111" i="21"/>
  <c r="S111" i="21"/>
  <c r="R111" i="21"/>
  <c r="Q111" i="21"/>
  <c r="N111" i="21"/>
  <c r="L111" i="21"/>
  <c r="K111" i="21"/>
  <c r="J111" i="21"/>
  <c r="G111" i="21"/>
  <c r="Z110" i="21"/>
  <c r="Y110" i="21"/>
  <c r="X110" i="21"/>
  <c r="U110" i="21"/>
  <c r="S110" i="21"/>
  <c r="R110" i="21"/>
  <c r="Q110" i="21"/>
  <c r="N110" i="21"/>
  <c r="L110" i="21"/>
  <c r="K110" i="21"/>
  <c r="J110" i="21"/>
  <c r="G110" i="21"/>
  <c r="Z109" i="21"/>
  <c r="Y109" i="21"/>
  <c r="X109" i="21"/>
  <c r="U109" i="21"/>
  <c r="S109" i="21"/>
  <c r="R109" i="21"/>
  <c r="Q109" i="21"/>
  <c r="N109" i="21"/>
  <c r="L109" i="21"/>
  <c r="K109" i="21"/>
  <c r="J109" i="21"/>
  <c r="G109" i="21"/>
  <c r="Z108" i="21"/>
  <c r="Y108" i="21"/>
  <c r="X108" i="21"/>
  <c r="U108" i="21"/>
  <c r="S108" i="21"/>
  <c r="R108" i="21"/>
  <c r="Q108" i="21"/>
  <c r="N108" i="21"/>
  <c r="L108" i="21"/>
  <c r="K108" i="21"/>
  <c r="J108" i="21"/>
  <c r="G108" i="21"/>
  <c r="Z107" i="21"/>
  <c r="Y107" i="21"/>
  <c r="X107" i="21"/>
  <c r="U107" i="21"/>
  <c r="S107" i="21"/>
  <c r="R107" i="21"/>
  <c r="Q107" i="21"/>
  <c r="N107" i="21"/>
  <c r="L107" i="21"/>
  <c r="K107" i="21"/>
  <c r="J107" i="21"/>
  <c r="G107" i="21"/>
  <c r="Z106" i="21"/>
  <c r="Y106" i="21"/>
  <c r="X106" i="21"/>
  <c r="U106" i="21"/>
  <c r="S106" i="21"/>
  <c r="R106" i="21"/>
  <c r="Q106" i="21"/>
  <c r="N106" i="21"/>
  <c r="L106" i="21"/>
  <c r="K106" i="21"/>
  <c r="J106" i="21"/>
  <c r="G106" i="21"/>
  <c r="Z105" i="21"/>
  <c r="Y105" i="21"/>
  <c r="X105" i="21"/>
  <c r="U105" i="21"/>
  <c r="S105" i="21"/>
  <c r="R105" i="21"/>
  <c r="Q105" i="21"/>
  <c r="N105" i="21"/>
  <c r="L105" i="21"/>
  <c r="K105" i="21"/>
  <c r="J105" i="21"/>
  <c r="G105" i="21"/>
  <c r="Z104" i="21"/>
  <c r="Y104" i="21"/>
  <c r="X104" i="21"/>
  <c r="U104" i="21"/>
  <c r="S104" i="21"/>
  <c r="R104" i="21"/>
  <c r="Q104" i="21"/>
  <c r="N104" i="21"/>
  <c r="L104" i="21"/>
  <c r="K104" i="21"/>
  <c r="J104" i="21"/>
  <c r="G104" i="21"/>
  <c r="Z100" i="21"/>
  <c r="Y100" i="21"/>
  <c r="X100" i="21"/>
  <c r="U100" i="21"/>
  <c r="S100" i="21"/>
  <c r="R100" i="21"/>
  <c r="Q100" i="21"/>
  <c r="N100" i="21"/>
  <c r="L100" i="21"/>
  <c r="K100" i="21"/>
  <c r="J100" i="21"/>
  <c r="G100" i="21"/>
  <c r="Z99" i="21"/>
  <c r="Y99" i="21"/>
  <c r="X99" i="21"/>
  <c r="U99" i="21"/>
  <c r="S99" i="21"/>
  <c r="R99" i="21"/>
  <c r="Q99" i="21"/>
  <c r="N99" i="21"/>
  <c r="L99" i="21"/>
  <c r="K99" i="21"/>
  <c r="J99" i="21"/>
  <c r="G99" i="21"/>
  <c r="Z98" i="21"/>
  <c r="Y98" i="21"/>
  <c r="X98" i="21"/>
  <c r="U98" i="21"/>
  <c r="S98" i="21"/>
  <c r="R98" i="21"/>
  <c r="Q98" i="21"/>
  <c r="N98" i="21"/>
  <c r="L98" i="21"/>
  <c r="K98" i="21"/>
  <c r="J98" i="21"/>
  <c r="G98" i="21"/>
  <c r="Z97" i="21"/>
  <c r="Y97" i="21"/>
  <c r="X97" i="21"/>
  <c r="U97" i="21"/>
  <c r="S97" i="21"/>
  <c r="R97" i="21"/>
  <c r="Q97" i="21"/>
  <c r="N97" i="21"/>
  <c r="L97" i="21"/>
  <c r="K97" i="21"/>
  <c r="J97" i="21"/>
  <c r="G97" i="21"/>
  <c r="Z96" i="21"/>
  <c r="Y96" i="21"/>
  <c r="X96" i="21"/>
  <c r="U96" i="21"/>
  <c r="S96" i="21"/>
  <c r="R96" i="21"/>
  <c r="Q96" i="21"/>
  <c r="N96" i="21"/>
  <c r="L96" i="21"/>
  <c r="K96" i="21"/>
  <c r="J96" i="21"/>
  <c r="G96" i="21"/>
  <c r="Z95" i="21"/>
  <c r="Y95" i="21"/>
  <c r="X95" i="21"/>
  <c r="U95" i="21"/>
  <c r="S95" i="21"/>
  <c r="R95" i="21"/>
  <c r="Q95" i="21"/>
  <c r="N95" i="21"/>
  <c r="L95" i="21"/>
  <c r="K95" i="21"/>
  <c r="J95" i="21"/>
  <c r="G95" i="21"/>
  <c r="Z91" i="21"/>
  <c r="Y91" i="21"/>
  <c r="X91" i="21"/>
  <c r="U91" i="21"/>
  <c r="S91" i="21"/>
  <c r="R91" i="21"/>
  <c r="Q91" i="21"/>
  <c r="N91" i="21"/>
  <c r="L91" i="21"/>
  <c r="K91" i="21"/>
  <c r="J91" i="21"/>
  <c r="G91" i="21"/>
  <c r="Z90" i="21"/>
  <c r="Y90" i="21"/>
  <c r="X90" i="21"/>
  <c r="U90" i="21"/>
  <c r="S90" i="21"/>
  <c r="R90" i="21"/>
  <c r="Q90" i="21"/>
  <c r="N90" i="21"/>
  <c r="L90" i="21"/>
  <c r="K90" i="21"/>
  <c r="J90" i="21"/>
  <c r="G90" i="21"/>
  <c r="Z89" i="21"/>
  <c r="Y89" i="21"/>
  <c r="X89" i="21"/>
  <c r="U89" i="21"/>
  <c r="S89" i="21"/>
  <c r="R89" i="21"/>
  <c r="Q89" i="21"/>
  <c r="N89" i="21"/>
  <c r="L89" i="21"/>
  <c r="K89" i="21"/>
  <c r="J89" i="21"/>
  <c r="G89" i="21"/>
  <c r="Z88" i="21"/>
  <c r="Y88" i="21"/>
  <c r="X88" i="21"/>
  <c r="U88" i="21"/>
  <c r="S88" i="21"/>
  <c r="R88" i="21"/>
  <c r="Q88" i="21"/>
  <c r="N88" i="21"/>
  <c r="L88" i="21"/>
  <c r="K88" i="21"/>
  <c r="J88" i="21"/>
  <c r="G88" i="21"/>
  <c r="Z87" i="21"/>
  <c r="Y87" i="21"/>
  <c r="X87" i="21"/>
  <c r="U87" i="21"/>
  <c r="S87" i="21"/>
  <c r="R87" i="21"/>
  <c r="Q87" i="21"/>
  <c r="N87" i="21"/>
  <c r="L87" i="21"/>
  <c r="K87" i="21"/>
  <c r="J87" i="21"/>
  <c r="G87" i="21"/>
  <c r="Z86" i="21"/>
  <c r="Y86" i="21"/>
  <c r="X86" i="21"/>
  <c r="U86" i="21"/>
  <c r="S86" i="21"/>
  <c r="R86" i="21"/>
  <c r="Q86" i="21"/>
  <c r="N86" i="21"/>
  <c r="L86" i="21"/>
  <c r="K86" i="21"/>
  <c r="J86" i="21"/>
  <c r="G86" i="21"/>
  <c r="Z85" i="21"/>
  <c r="Y85" i="21"/>
  <c r="X85" i="21"/>
  <c r="U85" i="21"/>
  <c r="S85" i="21"/>
  <c r="R85" i="21"/>
  <c r="Q85" i="21"/>
  <c r="N85" i="21"/>
  <c r="L85" i="21"/>
  <c r="K85" i="21"/>
  <c r="J85" i="21"/>
  <c r="G85" i="21"/>
  <c r="Z84" i="21"/>
  <c r="Y84" i="21"/>
  <c r="X84" i="21"/>
  <c r="U84" i="21"/>
  <c r="S84" i="21"/>
  <c r="R84" i="21"/>
  <c r="Q84" i="21"/>
  <c r="N84" i="21"/>
  <c r="L84" i="21"/>
  <c r="K84" i="21"/>
  <c r="J84" i="21"/>
  <c r="G84" i="21"/>
  <c r="Z83" i="21"/>
  <c r="Y83" i="21"/>
  <c r="X83" i="21"/>
  <c r="U83" i="21"/>
  <c r="S83" i="21"/>
  <c r="R83" i="21"/>
  <c r="Q83" i="21"/>
  <c r="N83" i="21"/>
  <c r="L83" i="21"/>
  <c r="K83" i="21"/>
  <c r="J83" i="21"/>
  <c r="G83" i="21"/>
  <c r="Z82" i="21"/>
  <c r="Y82" i="21"/>
  <c r="X82" i="21"/>
  <c r="U82" i="21"/>
  <c r="S82" i="21"/>
  <c r="R82" i="21"/>
  <c r="Q82" i="21"/>
  <c r="N82" i="21"/>
  <c r="L82" i="21"/>
  <c r="K82" i="21"/>
  <c r="J82" i="21"/>
  <c r="G82" i="21"/>
  <c r="Z81" i="21"/>
  <c r="Y81" i="21"/>
  <c r="X81" i="21"/>
  <c r="U81" i="21"/>
  <c r="S81" i="21"/>
  <c r="R81" i="21"/>
  <c r="Q81" i="21"/>
  <c r="N81" i="21"/>
  <c r="L81" i="21"/>
  <c r="K81" i="21"/>
  <c r="J81" i="21"/>
  <c r="G81" i="21"/>
  <c r="Z80" i="21"/>
  <c r="Y80" i="21"/>
  <c r="X80" i="21"/>
  <c r="U80" i="21"/>
  <c r="S80" i="21"/>
  <c r="R80" i="21"/>
  <c r="Q80" i="21"/>
  <c r="N80" i="21"/>
  <c r="L80" i="21"/>
  <c r="K80" i="21"/>
  <c r="J80" i="21"/>
  <c r="G80" i="21"/>
  <c r="Z79" i="21"/>
  <c r="Y79" i="21"/>
  <c r="X79" i="21"/>
  <c r="U79" i="21"/>
  <c r="S79" i="21"/>
  <c r="R79" i="21"/>
  <c r="Q79" i="21"/>
  <c r="N79" i="21"/>
  <c r="L79" i="21"/>
  <c r="K79" i="21"/>
  <c r="J79" i="21"/>
  <c r="G79" i="21"/>
  <c r="Z78" i="21"/>
  <c r="Y78" i="21"/>
  <c r="X78" i="21"/>
  <c r="U78" i="21"/>
  <c r="S78" i="21"/>
  <c r="R78" i="21"/>
  <c r="Q78" i="21"/>
  <c r="N78" i="21"/>
  <c r="L78" i="21"/>
  <c r="K78" i="21"/>
  <c r="J78" i="21"/>
  <c r="G78" i="21"/>
  <c r="Z77" i="21"/>
  <c r="Y77" i="21"/>
  <c r="X77" i="21"/>
  <c r="U77" i="21"/>
  <c r="S77" i="21"/>
  <c r="R77" i="21"/>
  <c r="Q77" i="21"/>
  <c r="N77" i="21"/>
  <c r="L77" i="21"/>
  <c r="K77" i="21"/>
  <c r="J77" i="21"/>
  <c r="G77" i="21"/>
  <c r="Z76" i="21"/>
  <c r="Y76" i="21"/>
  <c r="X76" i="21"/>
  <c r="U76" i="21"/>
  <c r="S76" i="21"/>
  <c r="R76" i="21"/>
  <c r="Q76" i="21"/>
  <c r="N76" i="21"/>
  <c r="L76" i="21"/>
  <c r="K76" i="21"/>
  <c r="J76" i="21"/>
  <c r="G76" i="21"/>
  <c r="Z75" i="21"/>
  <c r="Y75" i="21"/>
  <c r="X75" i="21"/>
  <c r="U75" i="21"/>
  <c r="S75" i="21"/>
  <c r="R75" i="21"/>
  <c r="Q75" i="21"/>
  <c r="N75" i="21"/>
  <c r="L75" i="21"/>
  <c r="K75" i="21"/>
  <c r="J75" i="21"/>
  <c r="G75" i="21"/>
  <c r="Z74" i="21"/>
  <c r="Y74" i="21"/>
  <c r="X74" i="21"/>
  <c r="U74" i="21"/>
  <c r="S74" i="21"/>
  <c r="R74" i="21"/>
  <c r="Q74" i="21"/>
  <c r="N74" i="21"/>
  <c r="L74" i="21"/>
  <c r="K74" i="21"/>
  <c r="J74" i="21"/>
  <c r="G74" i="21"/>
  <c r="Z73" i="21"/>
  <c r="Y73" i="21"/>
  <c r="X73" i="21"/>
  <c r="U73" i="21"/>
  <c r="S73" i="21"/>
  <c r="R73" i="21"/>
  <c r="Q73" i="21"/>
  <c r="N73" i="21"/>
  <c r="L73" i="21"/>
  <c r="K73" i="21"/>
  <c r="J73" i="21"/>
  <c r="G73" i="21"/>
  <c r="Z72" i="21"/>
  <c r="Y72" i="21"/>
  <c r="X72" i="21"/>
  <c r="U72" i="21"/>
  <c r="S72" i="21"/>
  <c r="R72" i="21"/>
  <c r="Q72" i="21"/>
  <c r="N72" i="21"/>
  <c r="L72" i="21"/>
  <c r="K72" i="21"/>
  <c r="J72" i="21"/>
  <c r="G72" i="21"/>
  <c r="Z70" i="21"/>
  <c r="Y70" i="21"/>
  <c r="X70" i="21"/>
  <c r="U70" i="21"/>
  <c r="S70" i="21"/>
  <c r="R70" i="21"/>
  <c r="Q70" i="21"/>
  <c r="N70" i="21"/>
  <c r="L70" i="21"/>
  <c r="K70" i="21"/>
  <c r="J70" i="21"/>
  <c r="G70" i="21"/>
  <c r="Z69" i="21"/>
  <c r="Y69" i="21"/>
  <c r="X69" i="21"/>
  <c r="U69" i="21"/>
  <c r="S69" i="21"/>
  <c r="R69" i="21"/>
  <c r="Q69" i="21"/>
  <c r="N69" i="21"/>
  <c r="L69" i="21"/>
  <c r="K69" i="21"/>
  <c r="J69" i="21"/>
  <c r="G69" i="21"/>
  <c r="Z68" i="21"/>
  <c r="Y68" i="21"/>
  <c r="X68" i="21"/>
  <c r="U68" i="21"/>
  <c r="S68" i="21"/>
  <c r="R68" i="21"/>
  <c r="Q68" i="21"/>
  <c r="N68" i="21"/>
  <c r="L68" i="21"/>
  <c r="K68" i="21"/>
  <c r="J68" i="21"/>
  <c r="G68" i="21"/>
  <c r="Z67" i="21"/>
  <c r="Y67" i="21"/>
  <c r="X67" i="21"/>
  <c r="U67" i="21"/>
  <c r="S67" i="21"/>
  <c r="R67" i="21"/>
  <c r="Q67" i="21"/>
  <c r="N67" i="21"/>
  <c r="L67" i="21"/>
  <c r="K67" i="21"/>
  <c r="J67" i="21"/>
  <c r="G67" i="21"/>
  <c r="Z66" i="21"/>
  <c r="Y66" i="21"/>
  <c r="X66" i="21"/>
  <c r="U66" i="21"/>
  <c r="S66" i="21"/>
  <c r="R66" i="21"/>
  <c r="Q66" i="21"/>
  <c r="N66" i="21"/>
  <c r="L66" i="21"/>
  <c r="K66" i="21"/>
  <c r="J66" i="21"/>
  <c r="G66" i="21"/>
  <c r="Z62" i="21"/>
  <c r="Y62" i="21"/>
  <c r="X62" i="21"/>
  <c r="U62" i="21"/>
  <c r="S62" i="21"/>
  <c r="R62" i="21"/>
  <c r="Q62" i="21"/>
  <c r="N62" i="21"/>
  <c r="L62" i="21"/>
  <c r="K62" i="21"/>
  <c r="J62" i="21"/>
  <c r="G62" i="21"/>
  <c r="Z61" i="21"/>
  <c r="Y61" i="21"/>
  <c r="X61" i="21"/>
  <c r="U61" i="21"/>
  <c r="S61" i="21"/>
  <c r="R61" i="21"/>
  <c r="Q61" i="21"/>
  <c r="N61" i="21"/>
  <c r="L61" i="21"/>
  <c r="K61" i="21"/>
  <c r="J61" i="21"/>
  <c r="G61" i="21"/>
  <c r="Z60" i="21"/>
  <c r="Y60" i="21"/>
  <c r="X60" i="21"/>
  <c r="U60" i="21"/>
  <c r="S60" i="21"/>
  <c r="R60" i="21"/>
  <c r="Q60" i="21"/>
  <c r="N60" i="21"/>
  <c r="L60" i="21"/>
  <c r="K60" i="21"/>
  <c r="J60" i="21"/>
  <c r="G60" i="21"/>
  <c r="Z59" i="21"/>
  <c r="Y59" i="21"/>
  <c r="X59" i="21"/>
  <c r="U59" i="21"/>
  <c r="S59" i="21"/>
  <c r="R59" i="21"/>
  <c r="Q59" i="21"/>
  <c r="N59" i="21"/>
  <c r="L59" i="21"/>
  <c r="K59" i="21"/>
  <c r="J59" i="21"/>
  <c r="G59" i="21"/>
  <c r="Z58" i="21"/>
  <c r="Y58" i="21"/>
  <c r="X58" i="21"/>
  <c r="U58" i="21"/>
  <c r="S58" i="21"/>
  <c r="R58" i="21"/>
  <c r="Q58" i="21"/>
  <c r="N58" i="21"/>
  <c r="L58" i="21"/>
  <c r="K58" i="21"/>
  <c r="J58" i="21"/>
  <c r="G58" i="21"/>
  <c r="Z57" i="21"/>
  <c r="Y57" i="21"/>
  <c r="X57" i="21"/>
  <c r="U57" i="21"/>
  <c r="S57" i="21"/>
  <c r="R57" i="21"/>
  <c r="Q57" i="21"/>
  <c r="N57" i="21"/>
  <c r="L57" i="21"/>
  <c r="K57" i="21"/>
  <c r="J57" i="21"/>
  <c r="G57" i="21"/>
  <c r="Z56" i="21"/>
  <c r="Y56" i="21"/>
  <c r="X56" i="21"/>
  <c r="U56" i="21"/>
  <c r="S56" i="21"/>
  <c r="R56" i="21"/>
  <c r="Q56" i="21"/>
  <c r="N56" i="21"/>
  <c r="L56" i="21"/>
  <c r="K56" i="21"/>
  <c r="J56" i="21"/>
  <c r="G56" i="21"/>
  <c r="Z55" i="21"/>
  <c r="Y55" i="21"/>
  <c r="X55" i="21"/>
  <c r="U55" i="21"/>
  <c r="S55" i="21"/>
  <c r="R55" i="21"/>
  <c r="Q55" i="21"/>
  <c r="N55" i="21"/>
  <c r="L55" i="21"/>
  <c r="K55" i="21"/>
  <c r="J55" i="21"/>
  <c r="G55" i="21"/>
  <c r="Z54" i="21"/>
  <c r="Y54" i="21"/>
  <c r="X54" i="21"/>
  <c r="U54" i="21"/>
  <c r="S54" i="21"/>
  <c r="R54" i="21"/>
  <c r="Q54" i="21"/>
  <c r="N54" i="21"/>
  <c r="L54" i="21"/>
  <c r="K54" i="21"/>
  <c r="J54" i="21"/>
  <c r="G54" i="21"/>
  <c r="Z53" i="21"/>
  <c r="Y53" i="21"/>
  <c r="X53" i="21"/>
  <c r="U53" i="21"/>
  <c r="S53" i="21"/>
  <c r="R53" i="21"/>
  <c r="Q53" i="21"/>
  <c r="N53" i="21"/>
  <c r="L53" i="21"/>
  <c r="K53" i="21"/>
  <c r="J53" i="21"/>
  <c r="G53" i="21"/>
  <c r="Z52" i="21"/>
  <c r="Y52" i="21"/>
  <c r="X52" i="21"/>
  <c r="U52" i="21"/>
  <c r="S52" i="21"/>
  <c r="R52" i="21"/>
  <c r="Q52" i="21"/>
  <c r="N52" i="21"/>
  <c r="L52" i="21"/>
  <c r="K52" i="21"/>
  <c r="J52" i="21"/>
  <c r="G52" i="21"/>
  <c r="Z51" i="21"/>
  <c r="Y51" i="21"/>
  <c r="X51" i="21"/>
  <c r="U51" i="21"/>
  <c r="S51" i="21"/>
  <c r="R51" i="21"/>
  <c r="Q51" i="21"/>
  <c r="N51" i="21"/>
  <c r="L51" i="21"/>
  <c r="K51" i="21"/>
  <c r="J51" i="21"/>
  <c r="G51" i="21"/>
  <c r="Z50" i="21"/>
  <c r="Y50" i="21"/>
  <c r="X50" i="21"/>
  <c r="U50" i="21"/>
  <c r="S50" i="21"/>
  <c r="R50" i="21"/>
  <c r="Q50" i="21"/>
  <c r="N50" i="21"/>
  <c r="L50" i="21"/>
  <c r="K50" i="21"/>
  <c r="J50" i="21"/>
  <c r="G50" i="21"/>
  <c r="Z49" i="21"/>
  <c r="Y49" i="21"/>
  <c r="X49" i="21"/>
  <c r="U49" i="21"/>
  <c r="S49" i="21"/>
  <c r="R49" i="21"/>
  <c r="Q49" i="21"/>
  <c r="N49" i="21"/>
  <c r="L49" i="21"/>
  <c r="K49" i="21"/>
  <c r="J49" i="21"/>
  <c r="G49" i="21"/>
  <c r="Z48" i="21"/>
  <c r="Y48" i="21"/>
  <c r="X48" i="21"/>
  <c r="U48" i="21"/>
  <c r="S48" i="21"/>
  <c r="R48" i="21"/>
  <c r="Q48" i="21"/>
  <c r="N48" i="21"/>
  <c r="L48" i="21"/>
  <c r="K48" i="21"/>
  <c r="J48" i="21"/>
  <c r="G48" i="21"/>
  <c r="Z47" i="21"/>
  <c r="Y47" i="21"/>
  <c r="X47" i="21"/>
  <c r="U47" i="21"/>
  <c r="S47" i="21"/>
  <c r="R47" i="21"/>
  <c r="Q47" i="21"/>
  <c r="N47" i="21"/>
  <c r="L47" i="21"/>
  <c r="K47" i="21"/>
  <c r="J47" i="21"/>
  <c r="G47" i="21"/>
  <c r="Z46" i="21"/>
  <c r="Y46" i="21"/>
  <c r="X46" i="21"/>
  <c r="U46" i="21"/>
  <c r="S46" i="21"/>
  <c r="R46" i="21"/>
  <c r="Q46" i="21"/>
  <c r="N46" i="21"/>
  <c r="L46" i="21"/>
  <c r="K46" i="21"/>
  <c r="J46" i="21"/>
  <c r="G46" i="21"/>
  <c r="Z45" i="21"/>
  <c r="Y45" i="21"/>
  <c r="X45" i="21"/>
  <c r="U45" i="21"/>
  <c r="S45" i="21"/>
  <c r="R45" i="21"/>
  <c r="Q45" i="21"/>
  <c r="N45" i="21"/>
  <c r="L45" i="21"/>
  <c r="K45" i="21"/>
  <c r="J45" i="21"/>
  <c r="G45" i="21"/>
  <c r="Z44" i="21"/>
  <c r="Y44" i="21"/>
  <c r="X44" i="21"/>
  <c r="U44" i="21"/>
  <c r="S44" i="21"/>
  <c r="R44" i="21"/>
  <c r="Q44" i="21"/>
  <c r="N44" i="21"/>
  <c r="L44" i="21"/>
  <c r="K44" i="21"/>
  <c r="J44" i="21"/>
  <c r="G44" i="21"/>
  <c r="Z43" i="21"/>
  <c r="Y43" i="21"/>
  <c r="X43" i="21"/>
  <c r="U43" i="21"/>
  <c r="S43" i="21"/>
  <c r="R43" i="21"/>
  <c r="Q43" i="21"/>
  <c r="N43" i="21"/>
  <c r="L43" i="21"/>
  <c r="K43" i="21"/>
  <c r="J43" i="21"/>
  <c r="G43" i="21"/>
  <c r="Z42" i="21"/>
  <c r="Y42" i="21"/>
  <c r="X42" i="21"/>
  <c r="U42" i="21"/>
  <c r="S42" i="21"/>
  <c r="R42" i="21"/>
  <c r="Q42" i="21"/>
  <c r="N42" i="21"/>
  <c r="L42" i="21"/>
  <c r="K42" i="21"/>
  <c r="J42" i="21"/>
  <c r="G42" i="21"/>
  <c r="Z41" i="21"/>
  <c r="Y41" i="21"/>
  <c r="X41" i="21"/>
  <c r="U41" i="21"/>
  <c r="S41" i="21"/>
  <c r="R41" i="21"/>
  <c r="Q41" i="21"/>
  <c r="N41" i="21"/>
  <c r="L41" i="21"/>
  <c r="K41" i="21"/>
  <c r="J41" i="21"/>
  <c r="G41" i="21"/>
  <c r="Z39" i="21"/>
  <c r="Y39" i="21"/>
  <c r="X39" i="21"/>
  <c r="U39" i="21"/>
  <c r="S39" i="21"/>
  <c r="Q39" i="21"/>
  <c r="N39" i="21"/>
  <c r="L39" i="21"/>
  <c r="J39" i="21"/>
  <c r="G39" i="21"/>
  <c r="Z38" i="21"/>
  <c r="Y38" i="21"/>
  <c r="X38" i="21"/>
  <c r="U38" i="21"/>
  <c r="S38" i="21"/>
  <c r="R38" i="21"/>
  <c r="Q38" i="21"/>
  <c r="N38" i="21"/>
  <c r="L38" i="21"/>
  <c r="K38" i="21"/>
  <c r="J38" i="21"/>
  <c r="G38" i="21"/>
  <c r="Z101" i="21"/>
  <c r="Y101" i="21"/>
  <c r="X101" i="21"/>
  <c r="U101" i="21"/>
  <c r="S101" i="21"/>
  <c r="R101" i="21"/>
  <c r="Q101" i="21"/>
  <c r="N101" i="21"/>
  <c r="L101" i="21"/>
  <c r="K101" i="21"/>
  <c r="J101" i="21"/>
  <c r="G101" i="21"/>
  <c r="Z92" i="21"/>
  <c r="Y92" i="21"/>
  <c r="X92" i="21"/>
  <c r="U92" i="21"/>
  <c r="S92" i="21"/>
  <c r="R92" i="21"/>
  <c r="Q92" i="21"/>
  <c r="N92" i="21"/>
  <c r="L92" i="21"/>
  <c r="K92" i="21"/>
  <c r="J92" i="21"/>
  <c r="G92" i="21"/>
  <c r="Z63" i="21"/>
  <c r="Y63" i="21"/>
  <c r="X63" i="21"/>
  <c r="U63" i="21"/>
  <c r="S63" i="21"/>
  <c r="R63" i="21"/>
  <c r="Q63" i="21"/>
  <c r="N63" i="21"/>
  <c r="L63" i="21"/>
  <c r="K63" i="21"/>
  <c r="J63" i="21"/>
  <c r="G63" i="21"/>
  <c r="Z11" i="21"/>
  <c r="N12" i="21"/>
  <c r="Q12" i="21"/>
  <c r="R12" i="21"/>
  <c r="S12" i="21"/>
  <c r="N13" i="21"/>
  <c r="Q13" i="21"/>
  <c r="R13" i="21"/>
  <c r="S13" i="21"/>
  <c r="N14" i="21"/>
  <c r="Q14" i="21"/>
  <c r="R14" i="21"/>
  <c r="S14" i="21"/>
  <c r="N15" i="21"/>
  <c r="Q15" i="21"/>
  <c r="R15" i="21"/>
  <c r="S15" i="21"/>
  <c r="N16" i="21"/>
  <c r="Q16" i="21"/>
  <c r="R16" i="21"/>
  <c r="S16" i="21"/>
  <c r="N17" i="21"/>
  <c r="Q17" i="21"/>
  <c r="R17" i="21"/>
  <c r="S17" i="21"/>
  <c r="N18" i="21"/>
  <c r="Q18" i="21"/>
  <c r="R18" i="21"/>
  <c r="S18" i="21"/>
  <c r="N19" i="21"/>
  <c r="Q19" i="21"/>
  <c r="R19" i="21"/>
  <c r="S19" i="21"/>
  <c r="N20" i="21"/>
  <c r="Q20" i="21"/>
  <c r="R20" i="21"/>
  <c r="S20" i="21"/>
  <c r="N21" i="21"/>
  <c r="Q21" i="21"/>
  <c r="R21" i="21"/>
  <c r="S21" i="21"/>
  <c r="N22" i="21"/>
  <c r="Q22" i="21"/>
  <c r="R22" i="21"/>
  <c r="S22" i="21"/>
  <c r="N23" i="21"/>
  <c r="Q23" i="21"/>
  <c r="R23" i="21"/>
  <c r="S23" i="21"/>
  <c r="N24" i="21"/>
  <c r="Q24" i="21"/>
  <c r="R24" i="21"/>
  <c r="S24" i="21"/>
  <c r="N25" i="21"/>
  <c r="Q25" i="21"/>
  <c r="R25" i="21"/>
  <c r="S25" i="21"/>
  <c r="N26" i="21"/>
  <c r="Q26" i="21"/>
  <c r="R26" i="21"/>
  <c r="S26" i="21"/>
  <c r="N27" i="21"/>
  <c r="Q27" i="21"/>
  <c r="R27" i="21"/>
  <c r="S27" i="21"/>
  <c r="N28" i="21"/>
  <c r="Q28" i="21"/>
  <c r="R28" i="21"/>
  <c r="S28" i="21"/>
  <c r="N29" i="21"/>
  <c r="Q29" i="21"/>
  <c r="R29" i="21"/>
  <c r="S29" i="21"/>
  <c r="N30" i="21"/>
  <c r="Q30" i="21"/>
  <c r="R30" i="21"/>
  <c r="S30" i="21"/>
  <c r="N31" i="21"/>
  <c r="Q31" i="21"/>
  <c r="R31" i="21"/>
  <c r="S31" i="21"/>
  <c r="N32" i="21"/>
  <c r="Q32" i="21"/>
  <c r="R32" i="21"/>
  <c r="S32" i="21"/>
  <c r="N33" i="21"/>
  <c r="Q33" i="21"/>
  <c r="R33" i="21"/>
  <c r="S33" i="21"/>
  <c r="N34" i="21"/>
  <c r="Q34" i="21"/>
  <c r="R34" i="21"/>
  <c r="S34" i="21"/>
  <c r="N35" i="21"/>
  <c r="Q35" i="21"/>
  <c r="R35" i="21"/>
  <c r="S35" i="21"/>
  <c r="Y11" i="21"/>
  <c r="X11" i="21"/>
  <c r="U11" i="21"/>
  <c r="S11" i="21"/>
  <c r="R11" i="21"/>
  <c r="Q11" i="21"/>
  <c r="N11" i="21"/>
  <c r="J12" i="21"/>
  <c r="K12" i="21"/>
  <c r="L12" i="21"/>
  <c r="J13" i="21"/>
  <c r="K13" i="21"/>
  <c r="L13" i="21"/>
  <c r="J14" i="21"/>
  <c r="K14" i="21"/>
  <c r="L14" i="21"/>
  <c r="J15" i="21"/>
  <c r="K15" i="21"/>
  <c r="L15" i="21"/>
  <c r="J16" i="21"/>
  <c r="K16" i="21"/>
  <c r="L16" i="21"/>
  <c r="J17" i="21"/>
  <c r="K17" i="21"/>
  <c r="L17" i="21"/>
  <c r="J18" i="21"/>
  <c r="K18" i="21"/>
  <c r="L18" i="21"/>
  <c r="J19" i="21"/>
  <c r="K19" i="21"/>
  <c r="L19" i="21"/>
  <c r="J20" i="21"/>
  <c r="K20" i="21"/>
  <c r="L20" i="21"/>
  <c r="J21" i="21"/>
  <c r="K21" i="21"/>
  <c r="L21" i="21"/>
  <c r="J22" i="21"/>
  <c r="K22" i="21"/>
  <c r="L22" i="21"/>
  <c r="J23" i="21"/>
  <c r="K23" i="21"/>
  <c r="L23" i="21"/>
  <c r="J24" i="21"/>
  <c r="K24" i="21"/>
  <c r="L24" i="21"/>
  <c r="J25" i="21"/>
  <c r="K25" i="21"/>
  <c r="L25" i="21"/>
  <c r="J26" i="21"/>
  <c r="K26" i="21"/>
  <c r="L26" i="21"/>
  <c r="J27" i="21"/>
  <c r="K27" i="21"/>
  <c r="L27" i="21"/>
  <c r="J28" i="21"/>
  <c r="K28" i="21"/>
  <c r="L28" i="21"/>
  <c r="J29" i="21"/>
  <c r="K29" i="21"/>
  <c r="L29" i="21"/>
  <c r="J30" i="21"/>
  <c r="K30" i="21"/>
  <c r="L30" i="21"/>
  <c r="J31" i="21"/>
  <c r="K31" i="21"/>
  <c r="L31" i="21"/>
  <c r="J32" i="21"/>
  <c r="K32" i="21"/>
  <c r="L32" i="21"/>
  <c r="J33" i="21"/>
  <c r="K33" i="21"/>
  <c r="L33" i="21"/>
  <c r="J34" i="21"/>
  <c r="K34" i="21"/>
  <c r="L34" i="21"/>
  <c r="J35" i="21"/>
  <c r="K35" i="21"/>
  <c r="L35" i="21"/>
  <c r="U35" i="21"/>
  <c r="U34" i="21"/>
  <c r="U33" i="21"/>
  <c r="U32" i="21"/>
  <c r="U31" i="21"/>
  <c r="U30" i="21"/>
  <c r="U29" i="21"/>
  <c r="U28" i="21"/>
  <c r="U27" i="21"/>
  <c r="U26" i="21"/>
  <c r="U25" i="21"/>
  <c r="U24" i="21"/>
  <c r="U23" i="21"/>
  <c r="U22" i="21"/>
  <c r="U21" i="21"/>
  <c r="U20" i="21"/>
  <c r="U19" i="21"/>
  <c r="U18" i="21"/>
  <c r="U17" i="21"/>
  <c r="U16" i="21"/>
  <c r="U15" i="21"/>
  <c r="U14" i="21"/>
  <c r="U13" i="21"/>
  <c r="U12" i="21"/>
  <c r="G12" i="21"/>
  <c r="G13" i="21"/>
  <c r="G14" i="21"/>
  <c r="G15" i="21"/>
  <c r="G16" i="21"/>
  <c r="G17" i="21"/>
  <c r="G18" i="21"/>
  <c r="G19" i="21"/>
  <c r="G20" i="21"/>
  <c r="G21" i="21"/>
  <c r="G22" i="21"/>
  <c r="G23" i="21"/>
  <c r="G24" i="21"/>
  <c r="G25" i="21"/>
  <c r="G26" i="21"/>
  <c r="G27" i="21"/>
  <c r="G28" i="21"/>
  <c r="G29" i="21"/>
  <c r="G30" i="21"/>
  <c r="G31" i="21"/>
  <c r="G32" i="21"/>
  <c r="G33" i="21"/>
  <c r="G34" i="21"/>
  <c r="G35" i="21"/>
  <c r="G11" i="21"/>
  <c r="AB223" i="21"/>
  <c r="X12" i="21"/>
  <c r="Y12" i="21"/>
  <c r="Z12" i="21"/>
  <c r="X13" i="21"/>
  <c r="Y13" i="21"/>
  <c r="Z13" i="21"/>
  <c r="X14" i="21"/>
  <c r="Y14" i="21"/>
  <c r="Z14" i="21"/>
  <c r="X15" i="21"/>
  <c r="Y15" i="21"/>
  <c r="Z15" i="21"/>
  <c r="X16" i="21"/>
  <c r="Y16" i="21"/>
  <c r="Z16" i="21"/>
  <c r="X17" i="21"/>
  <c r="Y17" i="21"/>
  <c r="Z17" i="21"/>
  <c r="X18" i="21"/>
  <c r="Y18" i="21"/>
  <c r="Z18" i="21"/>
  <c r="X19" i="21"/>
  <c r="Y19" i="21"/>
  <c r="Z19" i="21"/>
  <c r="X20" i="21"/>
  <c r="Y20" i="21"/>
  <c r="Z20" i="21"/>
  <c r="X21" i="21"/>
  <c r="Y21" i="21"/>
  <c r="Z21" i="21"/>
  <c r="X22" i="21"/>
  <c r="Y22" i="21"/>
  <c r="Z22" i="21"/>
  <c r="X23" i="21"/>
  <c r="Y23" i="21"/>
  <c r="Z23" i="21"/>
  <c r="X24" i="21"/>
  <c r="Y24" i="21"/>
  <c r="Z24" i="21"/>
  <c r="X25" i="21"/>
  <c r="Y25" i="21"/>
  <c r="Z25" i="21"/>
  <c r="X26" i="21"/>
  <c r="Y26" i="21"/>
  <c r="Z26" i="21"/>
  <c r="X27" i="21"/>
  <c r="Y27" i="21"/>
  <c r="Z27" i="21"/>
  <c r="X28" i="21"/>
  <c r="Y28" i="21"/>
  <c r="Z28" i="21"/>
  <c r="X29" i="21"/>
  <c r="Y29" i="21"/>
  <c r="Z29" i="21"/>
  <c r="X30" i="21"/>
  <c r="Y30" i="21"/>
  <c r="Z30" i="21"/>
  <c r="X31" i="21"/>
  <c r="Y31" i="21"/>
  <c r="Z31" i="21"/>
  <c r="X32" i="21"/>
  <c r="Y32" i="21"/>
  <c r="Z32" i="21"/>
  <c r="X33" i="21"/>
  <c r="Y33" i="21"/>
  <c r="Z33" i="21"/>
  <c r="X34" i="21"/>
  <c r="Y34" i="21"/>
  <c r="Z34" i="21"/>
  <c r="X35" i="21"/>
  <c r="Y35" i="21"/>
  <c r="Z35" i="21"/>
  <c r="AF10" i="21"/>
  <c r="E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Y4" i="13"/>
  <c r="E7" i="5"/>
  <c r="E7" i="21" s="1"/>
  <c r="BQ252" i="13"/>
  <c r="AF165" i="5"/>
  <c r="AE165" i="5"/>
  <c r="AD165" i="5"/>
  <c r="AF153" i="5"/>
  <c r="AE153" i="5"/>
  <c r="AD153" i="5"/>
  <c r="C13" i="11"/>
  <c r="B49" i="11" s="1"/>
  <c r="U7" i="5"/>
  <c r="N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8"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BS341" i="13" l="1"/>
  <c r="AF190" i="5"/>
  <c r="AE190" i="5"/>
  <c r="AD190" i="5"/>
  <c r="BJ195" i="13"/>
  <c r="BK195" i="13" s="1"/>
  <c r="BG195" i="13"/>
  <c r="BH195" i="13" s="1"/>
  <c r="BD195" i="13"/>
  <c r="BE195" i="13" s="1"/>
  <c r="B195" i="13"/>
  <c r="U122" i="13" l="1"/>
  <c r="U121" i="13" s="1"/>
  <c r="BJ40" i="13"/>
  <c r="BK40" i="13" s="1"/>
  <c r="BG40" i="13"/>
  <c r="BH40" i="13" s="1"/>
  <c r="BD40" i="13"/>
  <c r="BE40" i="13" s="1"/>
  <c r="AF39" i="5"/>
  <c r="AE39" i="5"/>
  <c r="AD39" i="5"/>
  <c r="C39" i="5"/>
  <c r="C41" i="5"/>
  <c r="D41" i="21" s="1"/>
  <c r="K39" i="13"/>
  <c r="D39" i="21" l="1"/>
  <c r="C40" i="5"/>
  <c r="D40" i="21" s="1"/>
  <c r="BJ178" i="13"/>
  <c r="BK178" i="13" s="1"/>
  <c r="BG178" i="13"/>
  <c r="BH178" i="13" s="1"/>
  <c r="BD178" i="13"/>
  <c r="BE178" i="13" s="1"/>
  <c r="BJ177" i="13"/>
  <c r="BK177" i="13" s="1"/>
  <c r="BG177" i="13"/>
  <c r="BH177" i="13" s="1"/>
  <c r="BD177" i="13"/>
  <c r="BE177" i="13" s="1"/>
  <c r="AI260" i="13"/>
  <c r="AI259" i="13"/>
  <c r="AF15" i="5" l="1"/>
  <c r="AE15" i="5"/>
  <c r="AD15" i="5"/>
  <c r="H158" i="16"/>
  <c r="H140" i="16"/>
  <c r="H139" i="16"/>
  <c r="H21" i="16"/>
  <c r="H20" i="16"/>
  <c r="H19" i="16"/>
  <c r="U88" i="13"/>
  <c r="U87" i="13"/>
  <c r="H86" i="16"/>
  <c r="H85" i="16"/>
  <c r="H7" i="16"/>
  <c r="U85" i="13"/>
  <c r="U84" i="13"/>
  <c r="U83" i="13" l="1"/>
  <c r="AF99" i="5"/>
  <c r="AE99" i="5"/>
  <c r="AD99" i="5"/>
  <c r="BJ88" i="13"/>
  <c r="BK88" i="13" s="1"/>
  <c r="BG88" i="13"/>
  <c r="BH88" i="13" s="1"/>
  <c r="BD88" i="13"/>
  <c r="BE88" i="13" s="1"/>
  <c r="AF85" i="5"/>
  <c r="AE85" i="5"/>
  <c r="AD85" i="5"/>
  <c r="C85" i="5"/>
  <c r="D85" i="21" s="1"/>
  <c r="B88" i="13"/>
  <c r="Z88" i="13" s="1"/>
  <c r="H75" i="13"/>
  <c r="N59" i="13"/>
  <c r="M59" i="13"/>
  <c r="H59" i="13"/>
  <c r="N56" i="13"/>
  <c r="M56" i="13"/>
  <c r="H56" i="13"/>
  <c r="AF26" i="5"/>
  <c r="AE26" i="5"/>
  <c r="AD26" i="5"/>
  <c r="AF25" i="5"/>
  <c r="AE25" i="5"/>
  <c r="AD25" i="5"/>
  <c r="B23" i="13"/>
  <c r="B24" i="13"/>
  <c r="AF198" i="5" l="1"/>
  <c r="AE198" i="5"/>
  <c r="AD198" i="5"/>
  <c r="L187" i="13"/>
  <c r="BJ143" i="13"/>
  <c r="BK143" i="13" s="1"/>
  <c r="BG143" i="13"/>
  <c r="BH143" i="13" s="1"/>
  <c r="BD143" i="13"/>
  <c r="BE143" i="13" s="1"/>
  <c r="AF135" i="5"/>
  <c r="AE135" i="5"/>
  <c r="AD135"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F199" i="5"/>
  <c r="AE199" i="5"/>
  <c r="AD199" i="5"/>
  <c r="AF197" i="5"/>
  <c r="AE197" i="5"/>
  <c r="AD197"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F225" i="5"/>
  <c r="AE225" i="5"/>
  <c r="AD225" i="5"/>
  <c r="AF224" i="5"/>
  <c r="AE224" i="5"/>
  <c r="AD224" i="5"/>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3" i="5"/>
  <c r="AE213" i="5"/>
  <c r="AD213" i="5"/>
  <c r="AF212" i="5"/>
  <c r="AE212" i="5"/>
  <c r="AD212" i="5"/>
  <c r="AF208" i="5"/>
  <c r="AE208" i="5"/>
  <c r="AD208" i="5"/>
  <c r="AF207" i="5"/>
  <c r="AE207" i="5"/>
  <c r="AD207" i="5"/>
  <c r="AF206" i="5"/>
  <c r="AE206" i="5"/>
  <c r="AD206" i="5"/>
  <c r="AF205" i="5"/>
  <c r="AE205" i="5"/>
  <c r="AD205" i="5"/>
  <c r="AF204" i="5"/>
  <c r="AE204" i="5"/>
  <c r="AD204" i="5"/>
  <c r="AF203" i="5"/>
  <c r="AE203" i="5"/>
  <c r="AD203" i="5"/>
  <c r="AF202" i="5"/>
  <c r="AE202" i="5"/>
  <c r="AD202" i="5"/>
  <c r="AF201" i="5"/>
  <c r="AE201" i="5"/>
  <c r="AD201" i="5"/>
  <c r="AF200" i="5"/>
  <c r="AE200" i="5"/>
  <c r="AD200" i="5"/>
  <c r="AF196" i="5"/>
  <c r="AE196" i="5"/>
  <c r="AD196" i="5"/>
  <c r="AF195" i="5"/>
  <c r="AE195" i="5"/>
  <c r="AD195" i="5"/>
  <c r="AF191" i="5"/>
  <c r="AE191" i="5"/>
  <c r="AD191" i="5"/>
  <c r="AF189" i="5"/>
  <c r="AE189" i="5"/>
  <c r="AD189" i="5"/>
  <c r="AF188" i="5"/>
  <c r="AE188" i="5"/>
  <c r="AD188"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3" i="5"/>
  <c r="AE173" i="5"/>
  <c r="AD173" i="5"/>
  <c r="AF172" i="5"/>
  <c r="AE172" i="5"/>
  <c r="AD172" i="5"/>
  <c r="AF170" i="5"/>
  <c r="AE170" i="5"/>
  <c r="AD170" i="5"/>
  <c r="AF169" i="5"/>
  <c r="AE169" i="5"/>
  <c r="AD169" i="5"/>
  <c r="AF168" i="5"/>
  <c r="AE168" i="5"/>
  <c r="AD168" i="5"/>
  <c r="AF167" i="5"/>
  <c r="AE167" i="5"/>
  <c r="AD167" i="5"/>
  <c r="AF166" i="5"/>
  <c r="AE166" i="5"/>
  <c r="AD166" i="5"/>
  <c r="AF164" i="5"/>
  <c r="AE164" i="5"/>
  <c r="AD164" i="5"/>
  <c r="AF163" i="5"/>
  <c r="AE163" i="5"/>
  <c r="AD163" i="5"/>
  <c r="AF159" i="5"/>
  <c r="AE159" i="5"/>
  <c r="AD159" i="5"/>
  <c r="AF158" i="5"/>
  <c r="AE158" i="5"/>
  <c r="AD158" i="5"/>
  <c r="AF157" i="5"/>
  <c r="AE157" i="5"/>
  <c r="AD157" i="5"/>
  <c r="AF156" i="5"/>
  <c r="AE156" i="5"/>
  <c r="AD156" i="5"/>
  <c r="AF155" i="5"/>
  <c r="AE155" i="5"/>
  <c r="AD155" i="5"/>
  <c r="AF154" i="5"/>
  <c r="AE154" i="5"/>
  <c r="AD154" i="5"/>
  <c r="AF152" i="5"/>
  <c r="AE152" i="5"/>
  <c r="AD152" i="5"/>
  <c r="AF151" i="5"/>
  <c r="AE151" i="5"/>
  <c r="AD151" i="5"/>
  <c r="AF150" i="5"/>
  <c r="AE150" i="5"/>
  <c r="AD150" i="5"/>
  <c r="AF148" i="5"/>
  <c r="AE148" i="5"/>
  <c r="AD148" i="5"/>
  <c r="AF144" i="5"/>
  <c r="AE144" i="5"/>
  <c r="AD144" i="5"/>
  <c r="AF143" i="5"/>
  <c r="AE143" i="5"/>
  <c r="AD143" i="5"/>
  <c r="AF142" i="5"/>
  <c r="AE142" i="5"/>
  <c r="AD142" i="5"/>
  <c r="AF141" i="5"/>
  <c r="AE141" i="5"/>
  <c r="AD141" i="5"/>
  <c r="AF140" i="5"/>
  <c r="AE140" i="5"/>
  <c r="AD140" i="5"/>
  <c r="AF139" i="5"/>
  <c r="AE139" i="5"/>
  <c r="AD139" i="5"/>
  <c r="AF138" i="5"/>
  <c r="AE138" i="5"/>
  <c r="AD138" i="5"/>
  <c r="AF136" i="5"/>
  <c r="AE136" i="5"/>
  <c r="AD136" i="5"/>
  <c r="AF134" i="5"/>
  <c r="AE134" i="5"/>
  <c r="AD134"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9" i="5"/>
  <c r="AE119" i="5"/>
  <c r="AD119" i="5"/>
  <c r="AF118" i="5"/>
  <c r="AE118" i="5"/>
  <c r="AD118" i="5"/>
  <c r="AF114" i="5"/>
  <c r="AE114" i="5"/>
  <c r="AD114" i="5"/>
  <c r="AF113" i="5"/>
  <c r="AE113" i="5"/>
  <c r="AD113" i="5"/>
  <c r="AF112" i="5"/>
  <c r="AE112" i="5"/>
  <c r="AD112" i="5"/>
  <c r="AF111" i="5"/>
  <c r="AE111" i="5"/>
  <c r="AD111" i="5"/>
  <c r="AF110" i="5"/>
  <c r="AE110" i="5"/>
  <c r="AD110" i="5"/>
  <c r="AF109" i="5"/>
  <c r="AE109" i="5"/>
  <c r="AD109" i="5"/>
  <c r="AF108" i="5"/>
  <c r="AE108" i="5"/>
  <c r="AD108" i="5"/>
  <c r="AF107" i="5"/>
  <c r="AE107" i="5"/>
  <c r="AD107" i="5"/>
  <c r="AF106" i="5"/>
  <c r="AE106" i="5"/>
  <c r="AD106" i="5"/>
  <c r="AF104" i="5"/>
  <c r="AE104" i="5"/>
  <c r="AD104" i="5"/>
  <c r="AF100" i="5"/>
  <c r="AE100" i="5"/>
  <c r="AD100" i="5"/>
  <c r="AF98" i="5"/>
  <c r="AE98" i="5"/>
  <c r="AD98" i="5"/>
  <c r="AF97" i="5"/>
  <c r="AE97" i="5"/>
  <c r="AD97" i="5"/>
  <c r="AF96" i="5"/>
  <c r="AE96" i="5"/>
  <c r="AD96" i="5"/>
  <c r="AF95" i="5"/>
  <c r="AE95" i="5"/>
  <c r="AD95" i="5"/>
  <c r="AF91" i="5"/>
  <c r="AE91" i="5"/>
  <c r="AD91" i="5"/>
  <c r="AF90" i="5"/>
  <c r="AE90" i="5"/>
  <c r="AD90" i="5"/>
  <c r="AF89" i="5"/>
  <c r="AE89" i="5"/>
  <c r="AD89" i="5"/>
  <c r="AF88" i="5"/>
  <c r="AE88" i="5"/>
  <c r="AD88" i="5"/>
  <c r="AF87" i="5"/>
  <c r="AE87" i="5"/>
  <c r="AD87" i="5"/>
  <c r="AF86" i="5"/>
  <c r="AE86" i="5"/>
  <c r="AD86" i="5"/>
  <c r="AF84" i="5"/>
  <c r="AE84" i="5"/>
  <c r="AD84"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3" i="5"/>
  <c r="AE73" i="5"/>
  <c r="AD73" i="5"/>
  <c r="AF72" i="5"/>
  <c r="AE72" i="5"/>
  <c r="AD72" i="5"/>
  <c r="AF71" i="5"/>
  <c r="AE71" i="5"/>
  <c r="AD71" i="5"/>
  <c r="AF69" i="5"/>
  <c r="AE69" i="5"/>
  <c r="AD69" i="5"/>
  <c r="AF68" i="5"/>
  <c r="AE68" i="5"/>
  <c r="AD68" i="5"/>
  <c r="AF67" i="5"/>
  <c r="AE67" i="5"/>
  <c r="AD67" i="5"/>
  <c r="AF66" i="5"/>
  <c r="AE66" i="5"/>
  <c r="AD66" i="5"/>
  <c r="AF62" i="5"/>
  <c r="AE62" i="5"/>
  <c r="AD62"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41" i="5"/>
  <c r="AE41" i="5"/>
  <c r="AD41" i="5"/>
  <c r="AF38" i="5"/>
  <c r="AE38" i="5"/>
  <c r="AD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D12" i="5"/>
  <c r="AE12" i="5"/>
  <c r="AF12" i="5"/>
  <c r="AD13" i="5"/>
  <c r="AE13" i="5"/>
  <c r="AF13" i="5"/>
  <c r="AD14" i="5"/>
  <c r="AE14" i="5"/>
  <c r="AF14"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C196" i="5"/>
  <c r="D196" i="21" s="1"/>
  <c r="C164" i="5"/>
  <c r="D164" i="21" s="1"/>
  <c r="C151" i="5"/>
  <c r="C119" i="5"/>
  <c r="C114" i="5"/>
  <c r="D114" i="21" s="1"/>
  <c r="C110" i="5"/>
  <c r="C108" i="5"/>
  <c r="D108" i="21" s="1"/>
  <c r="C96"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E70" i="5" l="1"/>
  <c r="E171" i="5"/>
  <c r="H175" i="5"/>
  <c r="T55" i="11"/>
  <c r="T67" i="11"/>
  <c r="T79" i="11"/>
  <c r="J72" i="11"/>
  <c r="W106" i="5"/>
  <c r="H150" i="5"/>
  <c r="J69" i="11"/>
  <c r="I106" i="5"/>
  <c r="T73" i="11"/>
  <c r="W150" i="5"/>
  <c r="T64" i="11"/>
  <c r="T56" i="11"/>
  <c r="T68" i="11"/>
  <c r="T80" i="11"/>
  <c r="J71" i="11"/>
  <c r="V106" i="5"/>
  <c r="E150" i="5"/>
  <c r="O106" i="5"/>
  <c r="T72" i="11"/>
  <c r="J62" i="11"/>
  <c r="J55" i="11"/>
  <c r="J79" i="11"/>
  <c r="J76" i="11"/>
  <c r="E122" i="5"/>
  <c r="T57" i="11"/>
  <c r="T69" i="11"/>
  <c r="T81" i="11"/>
  <c r="P106" i="5"/>
  <c r="T54" i="11"/>
  <c r="T74" i="11"/>
  <c r="V150" i="5"/>
  <c r="T77" i="11"/>
  <c r="I150" i="5"/>
  <c r="T58" i="11"/>
  <c r="T70" i="11"/>
  <c r="T82" i="11"/>
  <c r="H106" i="5"/>
  <c r="J81" i="11"/>
  <c r="T76" i="11"/>
  <c r="O150" i="5"/>
  <c r="T59" i="11"/>
  <c r="T71" i="11"/>
  <c r="T83" i="11"/>
  <c r="J63" i="11"/>
  <c r="E106" i="5"/>
  <c r="T63" i="11"/>
  <c r="J56" i="11"/>
  <c r="T78" i="11"/>
  <c r="T60" i="11"/>
  <c r="T65" i="11"/>
  <c r="T61" i="11"/>
  <c r="J54" i="11"/>
  <c r="T75" i="11"/>
  <c r="P150" i="5"/>
  <c r="J75" i="11"/>
  <c r="T62" i="11"/>
  <c r="J80" i="11"/>
  <c r="T66" i="11"/>
  <c r="V40" i="5"/>
  <c r="V40" i="21" s="1"/>
  <c r="H40" i="5"/>
  <c r="H40" i="21" s="1"/>
  <c r="E40" i="5"/>
  <c r="E40" i="21" s="1"/>
  <c r="O40" i="5"/>
  <c r="O40" i="21" s="1"/>
  <c r="E13" i="5"/>
  <c r="E13" i="21" s="1"/>
  <c r="B79" i="11"/>
  <c r="B76" i="11"/>
  <c r="B62" i="11"/>
  <c r="C10" i="13"/>
  <c r="C11" i="13" s="1"/>
  <c r="C12" i="13" s="1"/>
  <c r="C13" i="13" s="1"/>
  <c r="C14" i="13" s="1"/>
  <c r="C15" i="13" s="1"/>
  <c r="B66" i="11"/>
  <c r="B69"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7" i="5"/>
  <c r="D96" i="21"/>
  <c r="C111" i="5"/>
  <c r="D110" i="21"/>
  <c r="C120" i="5"/>
  <c r="D119" i="21"/>
  <c r="C152" i="5"/>
  <c r="D152" i="21" s="1"/>
  <c r="D151" i="21"/>
  <c r="V137" i="5"/>
  <c r="O137" i="5"/>
  <c r="H137" i="5"/>
  <c r="E137" i="5"/>
  <c r="V70" i="5"/>
  <c r="E105" i="5"/>
  <c r="W70" i="5"/>
  <c r="E149" i="5"/>
  <c r="P70" i="5"/>
  <c r="H70" i="5"/>
  <c r="I70" i="5"/>
  <c r="O70" i="5"/>
  <c r="E26" i="5"/>
  <c r="E26" i="21" s="1"/>
  <c r="C167" i="5"/>
  <c r="C165" i="5"/>
  <c r="D165" i="21" s="1"/>
  <c r="Z19" i="13"/>
  <c r="O165" i="5"/>
  <c r="H165" i="5"/>
  <c r="E165" i="5"/>
  <c r="V165" i="5"/>
  <c r="C155" i="5"/>
  <c r="V153" i="5"/>
  <c r="O153" i="5"/>
  <c r="E153" i="5"/>
  <c r="H153" i="5"/>
  <c r="W190" i="5"/>
  <c r="P190" i="5"/>
  <c r="I190" i="5"/>
  <c r="E190" i="5"/>
  <c r="E39" i="5"/>
  <c r="V39" i="5"/>
  <c r="V39" i="21" s="1"/>
  <c r="H39" i="5"/>
  <c r="H39" i="21" s="1"/>
  <c r="O39" i="5"/>
  <c r="O39" i="21" s="1"/>
  <c r="E163" i="5"/>
  <c r="E14" i="5"/>
  <c r="E14" i="21" s="1"/>
  <c r="P173" i="5"/>
  <c r="P172" i="5"/>
  <c r="P172" i="21" s="1"/>
  <c r="W173" i="5"/>
  <c r="W172" i="5"/>
  <c r="W172" i="21" s="1"/>
  <c r="P85" i="5"/>
  <c r="W85" i="5"/>
  <c r="P135" i="5"/>
  <c r="W135" i="5"/>
  <c r="W191" i="5"/>
  <c r="W112" i="5"/>
  <c r="P142" i="5"/>
  <c r="W42" i="5"/>
  <c r="P196" i="5"/>
  <c r="W57" i="5"/>
  <c r="P29" i="5"/>
  <c r="P29" i="21" s="1"/>
  <c r="P180" i="5"/>
  <c r="P43" i="5"/>
  <c r="W81" i="5"/>
  <c r="P59" i="5"/>
  <c r="P108" i="5"/>
  <c r="W129" i="5"/>
  <c r="P199" i="5"/>
  <c r="W89" i="5"/>
  <c r="W15" i="5"/>
  <c r="W15" i="21" s="1"/>
  <c r="W121" i="5"/>
  <c r="P207" i="5"/>
  <c r="W59" i="5"/>
  <c r="W196" i="5"/>
  <c r="P201" i="5"/>
  <c r="W52" i="5"/>
  <c r="P74" i="5"/>
  <c r="P205" i="5"/>
  <c r="P79" i="5"/>
  <c r="W75" i="5"/>
  <c r="P34" i="5"/>
  <c r="P34" i="21" s="1"/>
  <c r="P139" i="5"/>
  <c r="W32" i="5"/>
  <c r="W32" i="21" s="1"/>
  <c r="W29" i="5"/>
  <c r="W29" i="21" s="1"/>
  <c r="W133" i="5"/>
  <c r="W142" i="5"/>
  <c r="W53" i="5"/>
  <c r="W201" i="5"/>
  <c r="P208" i="5"/>
  <c r="W72" i="5"/>
  <c r="P27" i="5"/>
  <c r="P27" i="21" s="1"/>
  <c r="P189" i="5"/>
  <c r="P18" i="5"/>
  <c r="P18" i="21" s="1"/>
  <c r="W96" i="5"/>
  <c r="P32" i="5"/>
  <c r="P32" i="21" s="1"/>
  <c r="P129" i="5"/>
  <c r="P62" i="5"/>
  <c r="P86" i="5"/>
  <c r="W19" i="5"/>
  <c r="W19" i="21" s="1"/>
  <c r="W128" i="5"/>
  <c r="W207" i="5"/>
  <c r="W67" i="5"/>
  <c r="P48" i="5"/>
  <c r="W91" i="5"/>
  <c r="P67" i="5"/>
  <c r="P19" i="5"/>
  <c r="P19" i="21" s="1"/>
  <c r="P84" i="5"/>
  <c r="W108" i="5"/>
  <c r="P21" i="5"/>
  <c r="P21" i="21" s="1"/>
  <c r="P124" i="5"/>
  <c r="P52" i="5"/>
  <c r="W43" i="5"/>
  <c r="W177" i="5"/>
  <c r="W84" i="5"/>
  <c r="P14" i="5"/>
  <c r="P14" i="21" s="1"/>
  <c r="W208" i="5"/>
  <c r="W82" i="5"/>
  <c r="P41" i="5"/>
  <c r="P112" i="5"/>
  <c r="P45" i="5"/>
  <c r="W139" i="5"/>
  <c r="P44" i="5"/>
  <c r="P44" i="21" s="1"/>
  <c r="P186" i="5"/>
  <c r="P42" i="5"/>
  <c r="W60" i="5"/>
  <c r="W169" i="5"/>
  <c r="P68" i="5"/>
  <c r="W78" i="5"/>
  <c r="P100" i="5"/>
  <c r="P54" i="5"/>
  <c r="W76" i="5"/>
  <c r="W54" i="5"/>
  <c r="W198" i="5"/>
  <c r="P133" i="5"/>
  <c r="W100" i="5"/>
  <c r="P111" i="5"/>
  <c r="P128" i="5"/>
  <c r="W110" i="5"/>
  <c r="P91" i="5"/>
  <c r="P78" i="5"/>
  <c r="W21" i="5"/>
  <c r="W21" i="21" s="1"/>
  <c r="W124" i="5"/>
  <c r="P50" i="5"/>
  <c r="P204" i="5"/>
  <c r="P96" i="5"/>
  <c r="W48" i="5"/>
  <c r="W202" i="5"/>
  <c r="P177" i="5"/>
  <c r="W111" i="5"/>
  <c r="P132" i="5"/>
  <c r="P53" i="5"/>
  <c r="W140" i="5"/>
  <c r="P82" i="5"/>
  <c r="P22" i="5"/>
  <c r="P22" i="21" s="1"/>
  <c r="W44" i="5"/>
  <c r="W186" i="5"/>
  <c r="P191" i="5"/>
  <c r="W68" i="5"/>
  <c r="P60" i="5"/>
  <c r="P198" i="5"/>
  <c r="W132" i="5"/>
  <c r="P156" i="5"/>
  <c r="W34" i="5"/>
  <c r="W34" i="21" s="1"/>
  <c r="W125" i="5"/>
  <c r="P110" i="5"/>
  <c r="P57" i="5"/>
  <c r="W62" i="5"/>
  <c r="W199" i="5"/>
  <c r="P89" i="5"/>
  <c r="W86" i="5"/>
  <c r="P121" i="5"/>
  <c r="W14" i="5"/>
  <c r="W14" i="21" s="1"/>
  <c r="W156" i="5"/>
  <c r="P181" i="5"/>
  <c r="W22" i="5"/>
  <c r="W22" i="21" s="1"/>
  <c r="W164" i="5"/>
  <c r="P140" i="5"/>
  <c r="P72" i="5"/>
  <c r="W50" i="5"/>
  <c r="W204" i="5"/>
  <c r="P81" i="5"/>
  <c r="W79" i="5"/>
  <c r="P169" i="5"/>
  <c r="W27" i="5"/>
  <c r="W27" i="21" s="1"/>
  <c r="W181" i="5"/>
  <c r="W45" i="5"/>
  <c r="W180" i="5"/>
  <c r="P125" i="5"/>
  <c r="P76" i="5"/>
  <c r="P15" i="5"/>
  <c r="P15" i="21" s="1"/>
  <c r="P75" i="5"/>
  <c r="W74" i="5"/>
  <c r="P202" i="5"/>
  <c r="W18" i="5"/>
  <c r="W18" i="21" s="1"/>
  <c r="W41" i="5"/>
  <c r="W205" i="5"/>
  <c r="P164" i="5"/>
  <c r="W189" i="5"/>
  <c r="W212" i="13"/>
  <c r="W201" i="13"/>
  <c r="E11" i="5"/>
  <c r="V99" i="5"/>
  <c r="O99" i="5"/>
  <c r="H99" i="5"/>
  <c r="E85" i="5"/>
  <c r="I85" i="5"/>
  <c r="E25" i="5"/>
  <c r="E25" i="21" s="1"/>
  <c r="E198" i="5"/>
  <c r="O197" i="5"/>
  <c r="H197" i="5"/>
  <c r="I198" i="5"/>
  <c r="C139" i="5"/>
  <c r="Z83" i="13"/>
  <c r="Z86" i="13"/>
  <c r="Z192" i="13"/>
  <c r="Z144" i="13"/>
  <c r="Z171" i="13"/>
  <c r="Z148" i="13"/>
  <c r="Z175" i="13"/>
  <c r="Z179" i="13"/>
  <c r="Z155" i="13"/>
  <c r="Z183" i="13"/>
  <c r="E135" i="5"/>
  <c r="I135" i="5"/>
  <c r="Z138" i="13"/>
  <c r="Z51" i="13"/>
  <c r="Z75" i="13"/>
  <c r="Z100" i="13"/>
  <c r="Z26" i="13"/>
  <c r="Z117" i="13"/>
  <c r="E197" i="5"/>
  <c r="Z11" i="13"/>
  <c r="E199" i="5"/>
  <c r="I199" i="5"/>
  <c r="Z39" i="13"/>
  <c r="Z46" i="13"/>
  <c r="Z69" i="13"/>
  <c r="Z126" i="13"/>
  <c r="E224" i="5"/>
  <c r="Z13" i="13"/>
  <c r="Z130" i="13"/>
  <c r="Z30" i="13"/>
  <c r="Z103" i="13"/>
  <c r="Z134" i="13"/>
  <c r="Z79" i="13"/>
  <c r="Z16" i="13"/>
  <c r="Z59" i="13"/>
  <c r="C201" i="5"/>
  <c r="C197" i="5"/>
  <c r="D197" i="21" s="1"/>
  <c r="I18" i="5"/>
  <c r="I18" i="21" s="1"/>
  <c r="E17" i="5"/>
  <c r="E17" i="21" s="1"/>
  <c r="E30" i="5"/>
  <c r="E30" i="21" s="1"/>
  <c r="E16" i="5"/>
  <c r="E16" i="21" s="1"/>
  <c r="E225" i="5"/>
  <c r="I21" i="5"/>
  <c r="I21" i="21" s="1"/>
  <c r="E29" i="5"/>
  <c r="E29" i="21" s="1"/>
  <c r="I19" i="5"/>
  <c r="I19" i="21" s="1"/>
  <c r="I22" i="5"/>
  <c r="I22" i="21" s="1"/>
  <c r="E28" i="5"/>
  <c r="E28" i="21" s="1"/>
  <c r="H188" i="5"/>
  <c r="H185" i="5"/>
  <c r="H179" i="5"/>
  <c r="H131" i="5"/>
  <c r="H123" i="5"/>
  <c r="H47" i="5"/>
  <c r="E187" i="5"/>
  <c r="E90" i="5"/>
  <c r="E109" i="5"/>
  <c r="I181" i="5"/>
  <c r="I128" i="5"/>
  <c r="I91" i="5"/>
  <c r="I60" i="5"/>
  <c r="E184" i="5"/>
  <c r="E156" i="5"/>
  <c r="E87" i="5"/>
  <c r="E148" i="5"/>
  <c r="V47" i="5"/>
  <c r="E51" i="5"/>
  <c r="I201" i="5"/>
  <c r="I133" i="5"/>
  <c r="I108" i="5"/>
  <c r="I42" i="5"/>
  <c r="E207" i="5"/>
  <c r="E204" i="5"/>
  <c r="E201" i="5"/>
  <c r="E191" i="5"/>
  <c r="E188" i="5"/>
  <c r="E185" i="5"/>
  <c r="E181" i="5"/>
  <c r="E179" i="5"/>
  <c r="E176" i="5"/>
  <c r="E173" i="5"/>
  <c r="E168" i="5"/>
  <c r="E164" i="5"/>
  <c r="E157" i="5"/>
  <c r="E152" i="5"/>
  <c r="E143" i="5"/>
  <c r="E140" i="5"/>
  <c r="E138" i="5"/>
  <c r="E133" i="5"/>
  <c r="E131" i="5"/>
  <c r="E128" i="5"/>
  <c r="E125" i="5"/>
  <c r="E123" i="5"/>
  <c r="E120" i="5"/>
  <c r="E114" i="5"/>
  <c r="E111" i="5"/>
  <c r="E108" i="5"/>
  <c r="E100" i="5"/>
  <c r="E97" i="5"/>
  <c r="E91" i="5"/>
  <c r="E88" i="5"/>
  <c r="E84" i="5"/>
  <c r="E81" i="5"/>
  <c r="E78" i="5"/>
  <c r="E75" i="5"/>
  <c r="E72" i="5"/>
  <c r="E69" i="5"/>
  <c r="E67" i="5"/>
  <c r="E60" i="5"/>
  <c r="E57" i="5"/>
  <c r="E54" i="5"/>
  <c r="E52" i="5"/>
  <c r="E49" i="5"/>
  <c r="E47" i="5"/>
  <c r="E44" i="5"/>
  <c r="E42" i="5"/>
  <c r="E182" i="5"/>
  <c r="E154" i="5"/>
  <c r="E83" i="5"/>
  <c r="E118" i="5"/>
  <c r="I111" i="5"/>
  <c r="I72" i="5"/>
  <c r="V175" i="5"/>
  <c r="V167" i="5"/>
  <c r="V127" i="5"/>
  <c r="V119" i="5"/>
  <c r="V56" i="5"/>
  <c r="E178" i="5"/>
  <c r="E141" i="5"/>
  <c r="E80" i="5"/>
  <c r="E104" i="5"/>
  <c r="E104" i="21" s="1"/>
  <c r="E107" i="5"/>
  <c r="I191" i="5"/>
  <c r="I125" i="5"/>
  <c r="I57" i="5"/>
  <c r="E98" i="5"/>
  <c r="O175" i="5"/>
  <c r="O167" i="5"/>
  <c r="O127" i="5"/>
  <c r="O119" i="5"/>
  <c r="O56" i="5"/>
  <c r="E174" i="5"/>
  <c r="E136" i="5"/>
  <c r="E77" i="5"/>
  <c r="E95" i="5"/>
  <c r="E95" i="21" s="1"/>
  <c r="V123" i="5"/>
  <c r="I81" i="5"/>
  <c r="I54" i="5"/>
  <c r="I208" i="5"/>
  <c r="I205" i="5"/>
  <c r="I202" i="5"/>
  <c r="I196" i="5"/>
  <c r="I189" i="5"/>
  <c r="I186" i="5"/>
  <c r="I180" i="5"/>
  <c r="I177" i="5"/>
  <c r="I169" i="5"/>
  <c r="I142" i="5"/>
  <c r="I139" i="5"/>
  <c r="I132" i="5"/>
  <c r="I129" i="5"/>
  <c r="I124" i="5"/>
  <c r="I121" i="5"/>
  <c r="I112" i="5"/>
  <c r="I110" i="5"/>
  <c r="I96" i="5"/>
  <c r="I89" i="5"/>
  <c r="I86" i="5"/>
  <c r="I82" i="5"/>
  <c r="I79" i="5"/>
  <c r="I76" i="5"/>
  <c r="I74" i="5"/>
  <c r="I68" i="5"/>
  <c r="I62" i="5"/>
  <c r="I59" i="5"/>
  <c r="I53" i="5"/>
  <c r="I50" i="5"/>
  <c r="I48" i="5"/>
  <c r="I45" i="5"/>
  <c r="I43" i="5"/>
  <c r="I41" i="5"/>
  <c r="E170" i="5"/>
  <c r="E130" i="5"/>
  <c r="E73" i="5"/>
  <c r="E66" i="5"/>
  <c r="E66" i="21" s="1"/>
  <c r="E46" i="5"/>
  <c r="I164" i="5"/>
  <c r="I67" i="5"/>
  <c r="E200" i="5"/>
  <c r="H167" i="5"/>
  <c r="H127" i="5"/>
  <c r="H119" i="5"/>
  <c r="H56" i="5"/>
  <c r="E166" i="5"/>
  <c r="E126" i="5"/>
  <c r="E61" i="5"/>
  <c r="E61" i="21" s="1"/>
  <c r="E38" i="5"/>
  <c r="E38" i="21" s="1"/>
  <c r="I100" i="5"/>
  <c r="E158" i="5"/>
  <c r="E158" i="21" s="1"/>
  <c r="E58" i="5"/>
  <c r="E58" i="21" s="1"/>
  <c r="E206" i="5"/>
  <c r="I207" i="5"/>
  <c r="I75" i="5"/>
  <c r="I44" i="5"/>
  <c r="E208" i="5"/>
  <c r="E205" i="5"/>
  <c r="E205" i="21" s="1"/>
  <c r="E202" i="5"/>
  <c r="E196" i="5"/>
  <c r="E189" i="5"/>
  <c r="E186" i="5"/>
  <c r="E183" i="5"/>
  <c r="E180" i="5"/>
  <c r="E177" i="5"/>
  <c r="E175" i="5"/>
  <c r="E172" i="5"/>
  <c r="E172" i="21" s="1"/>
  <c r="E169" i="5"/>
  <c r="E167" i="5"/>
  <c r="E159" i="5"/>
  <c r="E155" i="5"/>
  <c r="E151" i="5"/>
  <c r="E144" i="5"/>
  <c r="E142" i="5"/>
  <c r="E139" i="5"/>
  <c r="E134" i="5"/>
  <c r="E132" i="5"/>
  <c r="E129" i="5"/>
  <c r="E127" i="5"/>
  <c r="E124" i="5"/>
  <c r="E121" i="5"/>
  <c r="E119" i="5"/>
  <c r="E112" i="5"/>
  <c r="E110" i="5"/>
  <c r="E99" i="5"/>
  <c r="E96" i="5"/>
  <c r="E89" i="5"/>
  <c r="E86" i="5"/>
  <c r="E82" i="5"/>
  <c r="E79" i="5"/>
  <c r="E76" i="5"/>
  <c r="E74" i="5"/>
  <c r="E71" i="5"/>
  <c r="E71" i="21" s="1"/>
  <c r="E68" i="5"/>
  <c r="E68" i="21" s="1"/>
  <c r="E62" i="5"/>
  <c r="E59" i="5"/>
  <c r="E56" i="5"/>
  <c r="E53" i="5"/>
  <c r="E50" i="5"/>
  <c r="E48" i="5"/>
  <c r="E45" i="5"/>
  <c r="E43" i="5"/>
  <c r="E41" i="5"/>
  <c r="E41" i="21" s="1"/>
  <c r="E113" i="5"/>
  <c r="E55" i="5"/>
  <c r="E55" i="21" s="1"/>
  <c r="V131" i="5"/>
  <c r="I84" i="5"/>
  <c r="E195" i="5"/>
  <c r="V188" i="5"/>
  <c r="V185" i="5"/>
  <c r="V179" i="5"/>
  <c r="O188" i="5"/>
  <c r="O185" i="5"/>
  <c r="O179" i="5"/>
  <c r="O131" i="5"/>
  <c r="O123" i="5"/>
  <c r="O47" i="5"/>
  <c r="E203" i="5"/>
  <c r="I156" i="5"/>
  <c r="I204" i="5"/>
  <c r="I140" i="5"/>
  <c r="I78" i="5"/>
  <c r="I52" i="5"/>
  <c r="E27" i="5"/>
  <c r="E27" i="21" s="1"/>
  <c r="I34" i="5"/>
  <c r="I34" i="21" s="1"/>
  <c r="E223" i="5"/>
  <c r="E15" i="5"/>
  <c r="E15" i="21" s="1"/>
  <c r="E24" i="5"/>
  <c r="E24" i="21" s="1"/>
  <c r="I15" i="5"/>
  <c r="I15" i="21" s="1"/>
  <c r="E23" i="5"/>
  <c r="E23" i="21" s="1"/>
  <c r="I32" i="5"/>
  <c r="I32" i="21" s="1"/>
  <c r="I14" i="5"/>
  <c r="I14" i="21" s="1"/>
  <c r="E32" i="5"/>
  <c r="E32" i="21" s="1"/>
  <c r="E22" i="5"/>
  <c r="E22" i="21" s="1"/>
  <c r="E18" i="5"/>
  <c r="E18" i="21" s="1"/>
  <c r="E12" i="5"/>
  <c r="E12" i="21" s="1"/>
  <c r="E21" i="5"/>
  <c r="E21" i="21" s="1"/>
  <c r="I29" i="5"/>
  <c r="I29" i="21" s="1"/>
  <c r="E31" i="5"/>
  <c r="E31" i="21" s="1"/>
  <c r="E34" i="5"/>
  <c r="E34" i="21" s="1"/>
  <c r="E20" i="5"/>
  <c r="E20" i="21" s="1"/>
  <c r="E33" i="5"/>
  <c r="E33" i="21" s="1"/>
  <c r="E19" i="5"/>
  <c r="E19" i="21" s="1"/>
  <c r="E222" i="5"/>
  <c r="AD247" i="5"/>
  <c r="AE247" i="5"/>
  <c r="AF247" i="5"/>
  <c r="E247" i="5"/>
  <c r="E251" i="5"/>
  <c r="B81" i="11" l="1"/>
  <c r="E118" i="21"/>
  <c r="C69" i="5"/>
  <c r="B71" i="11"/>
  <c r="B72" i="11"/>
  <c r="B80" i="11"/>
  <c r="B59" i="11"/>
  <c r="B70" i="11"/>
  <c r="B55" i="11"/>
  <c r="C70" i="5"/>
  <c r="D70" i="21" s="1"/>
  <c r="I191" i="21"/>
  <c r="E163" i="21"/>
  <c r="E137" i="21"/>
  <c r="E11" i="21"/>
  <c r="P191" i="21"/>
  <c r="P60" i="21"/>
  <c r="E43" i="21"/>
  <c r="E157" i="21"/>
  <c r="E185" i="21"/>
  <c r="E96" i="21"/>
  <c r="W43" i="21"/>
  <c r="E39" i="21"/>
  <c r="E155" i="21"/>
  <c r="W208" i="21"/>
  <c r="E154" i="21"/>
  <c r="W45" i="21"/>
  <c r="E53" i="21"/>
  <c r="E186" i="21"/>
  <c r="E45" i="21"/>
  <c r="P68" i="21"/>
  <c r="W191" i="21"/>
  <c r="E86" i="21"/>
  <c r="W60" i="21"/>
  <c r="E50" i="21"/>
  <c r="E89" i="21"/>
  <c r="E59" i="21"/>
  <c r="I44" i="21"/>
  <c r="E206" i="21"/>
  <c r="I45" i="21"/>
  <c r="P208" i="21"/>
  <c r="E56" i="21"/>
  <c r="E189" i="21"/>
  <c r="E46" i="21"/>
  <c r="W53" i="21"/>
  <c r="I208" i="21"/>
  <c r="P54" i="21"/>
  <c r="I43" i="21"/>
  <c r="P42" i="21"/>
  <c r="W68" i="21"/>
  <c r="E60" i="21"/>
  <c r="E184" i="21"/>
  <c r="W42" i="21"/>
  <c r="I205" i="21"/>
  <c r="E223" i="21"/>
  <c r="E67" i="21"/>
  <c r="E152" i="21"/>
  <c r="I60" i="21"/>
  <c r="E69" i="21"/>
  <c r="E114" i="21"/>
  <c r="E115" i="21"/>
  <c r="E207" i="21"/>
  <c r="E48" i="21"/>
  <c r="I42" i="21"/>
  <c r="P53" i="21"/>
  <c r="B54" i="11"/>
  <c r="P205" i="21"/>
  <c r="I53" i="21"/>
  <c r="E42" i="21"/>
  <c r="E105" i="21"/>
  <c r="E144" i="21"/>
  <c r="E145" i="21"/>
  <c r="E44" i="21"/>
  <c r="E190" i="21"/>
  <c r="E47" i="21"/>
  <c r="E51" i="21"/>
  <c r="E187" i="21"/>
  <c r="E225" i="21"/>
  <c r="E226" i="21"/>
  <c r="P43" i="21"/>
  <c r="I190" i="21"/>
  <c r="E62" i="21"/>
  <c r="E63" i="21"/>
  <c r="I68" i="21"/>
  <c r="E49" i="21"/>
  <c r="P190" i="21"/>
  <c r="E159" i="21"/>
  <c r="E160" i="21"/>
  <c r="I54" i="21"/>
  <c r="E52" i="21"/>
  <c r="W190" i="21"/>
  <c r="B56" i="11"/>
  <c r="E208" i="21"/>
  <c r="E209" i="21"/>
  <c r="E54" i="21"/>
  <c r="E188" i="21"/>
  <c r="E224" i="21"/>
  <c r="W54" i="21"/>
  <c r="P45" i="21"/>
  <c r="E57" i="21"/>
  <c r="E143" i="21"/>
  <c r="E191" i="21"/>
  <c r="E192" i="21"/>
  <c r="E156" i="21"/>
  <c r="W44" i="21"/>
  <c r="E153" i="21"/>
  <c r="C121" i="5"/>
  <c r="D120" i="21"/>
  <c r="C112" i="5"/>
  <c r="D112" i="21" s="1"/>
  <c r="D111" i="21"/>
  <c r="C202" i="5"/>
  <c r="D201" i="21"/>
  <c r="C168" i="5"/>
  <c r="D167" i="21"/>
  <c r="C71" i="5"/>
  <c r="D69" i="21"/>
  <c r="C140" i="5"/>
  <c r="D139" i="21"/>
  <c r="C99" i="5"/>
  <c r="D97" i="21"/>
  <c r="C153" i="5"/>
  <c r="D153" i="21" s="1"/>
  <c r="C157" i="5"/>
  <c r="D155" i="21"/>
  <c r="C44" i="5"/>
  <c r="D43" i="21"/>
  <c r="E109" i="21"/>
  <c r="E129" i="21"/>
  <c r="E138" i="21"/>
  <c r="E148" i="21"/>
  <c r="E151" i="21"/>
  <c r="E70" i="21"/>
  <c r="W202" i="21"/>
  <c r="W205" i="21"/>
  <c r="E74" i="21"/>
  <c r="E106" i="21"/>
  <c r="E99" i="21"/>
  <c r="P86" i="21"/>
  <c r="E120" i="21"/>
  <c r="E197" i="21"/>
  <c r="E179" i="21"/>
  <c r="E165" i="21"/>
  <c r="E140" i="21"/>
  <c r="E173" i="21"/>
  <c r="E142" i="21"/>
  <c r="E202" i="21"/>
  <c r="E126" i="21"/>
  <c r="E79" i="21"/>
  <c r="E149" i="21"/>
  <c r="E133" i="21"/>
  <c r="E177" i="21"/>
  <c r="E84" i="21"/>
  <c r="E98" i="21"/>
  <c r="E136" i="21"/>
  <c r="E166" i="21"/>
  <c r="E204" i="21"/>
  <c r="E119" i="21"/>
  <c r="E78" i="21"/>
  <c r="E124" i="21"/>
  <c r="E200" i="21"/>
  <c r="E199" i="21"/>
  <c r="E76" i="21"/>
  <c r="E168" i="21"/>
  <c r="E123" i="21"/>
  <c r="E170" i="21"/>
  <c r="E80" i="21"/>
  <c r="E72" i="21"/>
  <c r="W86" i="21"/>
  <c r="W82" i="21"/>
  <c r="I76" i="21"/>
  <c r="I86" i="21"/>
  <c r="I111" i="21"/>
  <c r="P75" i="21"/>
  <c r="W75" i="21"/>
  <c r="W111" i="21"/>
  <c r="P76" i="21"/>
  <c r="E180" i="21"/>
  <c r="E121" i="21"/>
  <c r="E139" i="21"/>
  <c r="E75" i="21"/>
  <c r="E122" i="21"/>
  <c r="E196" i="21"/>
  <c r="P79" i="21"/>
  <c r="E183" i="21"/>
  <c r="E175" i="21"/>
  <c r="E169" i="21"/>
  <c r="E108" i="21"/>
  <c r="P202" i="21"/>
  <c r="I199" i="21"/>
  <c r="E81" i="21"/>
  <c r="E127" i="21"/>
  <c r="E90" i="21"/>
  <c r="E195" i="21"/>
  <c r="I202" i="21"/>
  <c r="E130" i="21"/>
  <c r="E176" i="21"/>
  <c r="W85" i="21"/>
  <c r="E111" i="21"/>
  <c r="E88" i="21"/>
  <c r="E132" i="21"/>
  <c r="E178" i="21"/>
  <c r="W199" i="21"/>
  <c r="P85" i="21"/>
  <c r="E125" i="21"/>
  <c r="E73" i="21"/>
  <c r="E91" i="21"/>
  <c r="E92" i="21"/>
  <c r="E182" i="21"/>
  <c r="I85" i="21"/>
  <c r="W79" i="21"/>
  <c r="W140" i="21"/>
  <c r="E164" i="21"/>
  <c r="E97" i="21"/>
  <c r="E87" i="21"/>
  <c r="E85" i="21"/>
  <c r="P199" i="21"/>
  <c r="E167" i="21"/>
  <c r="I140" i="21"/>
  <c r="E100" i="21"/>
  <c r="E101" i="21"/>
  <c r="E141" i="21"/>
  <c r="E112" i="21"/>
  <c r="I75" i="21"/>
  <c r="I82" i="21"/>
  <c r="E107" i="21"/>
  <c r="E198" i="21"/>
  <c r="E181" i="21"/>
  <c r="W76" i="21"/>
  <c r="P111" i="21"/>
  <c r="E82" i="21"/>
  <c r="E128" i="21"/>
  <c r="E171" i="21"/>
  <c r="E77" i="21"/>
  <c r="E110" i="21"/>
  <c r="E201" i="21"/>
  <c r="I79" i="21"/>
  <c r="E131" i="21"/>
  <c r="E174" i="21"/>
  <c r="E203" i="21"/>
  <c r="E135" i="21"/>
  <c r="E83" i="21"/>
  <c r="E113" i="21"/>
  <c r="E134" i="21"/>
  <c r="P82" i="21"/>
  <c r="P140" i="21"/>
  <c r="E150" i="21"/>
  <c r="W210" i="13"/>
  <c r="W213" i="13"/>
  <c r="W202" i="13"/>
  <c r="W203" i="13"/>
  <c r="C198" i="5"/>
  <c r="D198" i="21" s="1"/>
  <c r="C199" i="5"/>
  <c r="D199" i="21" s="1"/>
  <c r="Z10" i="13"/>
  <c r="AF258" i="5"/>
  <c r="AE258" i="5"/>
  <c r="AD258" i="5"/>
  <c r="E258" i="5"/>
  <c r="E257" i="5"/>
  <c r="AF257" i="5"/>
  <c r="AE257" i="5"/>
  <c r="AD257" i="5"/>
  <c r="AF254" i="5"/>
  <c r="AE254" i="5"/>
  <c r="AD254" i="5"/>
  <c r="E254" i="5"/>
  <c r="AF259" i="5"/>
  <c r="AE259" i="5"/>
  <c r="AD259" i="5"/>
  <c r="E259" i="5"/>
  <c r="AF252" i="5"/>
  <c r="AE252" i="5"/>
  <c r="AD252" i="5"/>
  <c r="E252" i="5"/>
  <c r="AF248" i="5"/>
  <c r="AE248" i="5"/>
  <c r="AD248" i="5"/>
  <c r="E248" i="5"/>
  <c r="E246" i="5"/>
  <c r="AF246" i="5"/>
  <c r="AE246" i="5"/>
  <c r="AD246" i="5"/>
  <c r="AF251" i="5"/>
  <c r="AE251" i="5"/>
  <c r="AD251" i="5"/>
  <c r="AF245" i="5"/>
  <c r="AE245" i="5"/>
  <c r="AD245" i="5"/>
  <c r="E245" i="5"/>
  <c r="AF236" i="5"/>
  <c r="AE236" i="5"/>
  <c r="AD236" i="5"/>
  <c r="E236" i="5"/>
  <c r="AF255" i="5"/>
  <c r="AE255" i="5"/>
  <c r="AD255" i="5"/>
  <c r="E255" i="5"/>
  <c r="C142" i="5" l="1"/>
  <c r="D140" i="21"/>
  <c r="C72" i="5"/>
  <c r="D71" i="21"/>
  <c r="C169" i="5"/>
  <c r="D168" i="21"/>
  <c r="C45" i="5"/>
  <c r="D44" i="21"/>
  <c r="C204" i="5"/>
  <c r="D202" i="21"/>
  <c r="C159" i="5"/>
  <c r="D159" i="21" s="1"/>
  <c r="D157" i="21"/>
  <c r="C100" i="5"/>
  <c r="D100" i="21" s="1"/>
  <c r="D99" i="21"/>
  <c r="C123" i="5"/>
  <c r="D121" i="21"/>
  <c r="L11" i="3"/>
  <c r="K9" i="13" s="1"/>
  <c r="L12" i="3"/>
  <c r="L9" i="13" s="1"/>
  <c r="L13" i="3"/>
  <c r="M9" i="13" s="1"/>
  <c r="L14" i="3"/>
  <c r="N9" i="13" s="1"/>
  <c r="L15" i="3"/>
  <c r="O9" i="13" s="1"/>
  <c r="L16" i="3"/>
  <c r="P9" i="13" s="1"/>
  <c r="L10" i="3"/>
  <c r="L8" i="3"/>
  <c r="L9" i="3"/>
  <c r="L7" i="3"/>
  <c r="L6" i="3"/>
  <c r="L5" i="3"/>
  <c r="C205" i="5" l="1"/>
  <c r="D204" i="21"/>
  <c r="C175" i="5"/>
  <c r="D169" i="21"/>
  <c r="C124" i="5"/>
  <c r="D123" i="21"/>
  <c r="C74" i="5"/>
  <c r="D72" i="21"/>
  <c r="C47" i="5"/>
  <c r="D45" i="21"/>
  <c r="C143" i="5"/>
  <c r="D142" i="21"/>
  <c r="J9" i="13"/>
  <c r="V91" i="13"/>
  <c r="V92" i="13"/>
  <c r="U101" i="13"/>
  <c r="Q9" i="13"/>
  <c r="Q13" i="3"/>
  <c r="Y6" i="13" s="1"/>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8" i="13"/>
  <c r="O258" i="13"/>
  <c r="M258" i="13"/>
  <c r="L258" i="13"/>
  <c r="N258" i="13"/>
  <c r="K258" i="13"/>
  <c r="J258" i="13"/>
  <c r="Y49" i="13" l="1"/>
  <c r="C125" i="5"/>
  <c r="D124" i="21"/>
  <c r="C144" i="5"/>
  <c r="D144" i="21" s="1"/>
  <c r="D143" i="21"/>
  <c r="C48" i="5"/>
  <c r="D47" i="21"/>
  <c r="C75" i="5"/>
  <c r="D74" i="21"/>
  <c r="C176" i="5"/>
  <c r="D175" i="21"/>
  <c r="C207" i="5"/>
  <c r="D205" i="21"/>
  <c r="V90" i="13"/>
  <c r="Q68" i="13"/>
  <c r="Q38" i="13"/>
  <c r="Q125" i="13"/>
  <c r="Q233" i="13"/>
  <c r="Q216" i="13"/>
  <c r="Q199" i="13"/>
  <c r="Q168" i="13"/>
  <c r="Q154" i="13"/>
  <c r="Q112" i="13"/>
  <c r="Q99" i="13"/>
  <c r="Y5" i="13"/>
  <c r="BS344" i="13"/>
  <c r="J37" i="11" s="1"/>
  <c r="BS347" i="13"/>
  <c r="J40" i="11" s="1"/>
  <c r="BS343" i="13"/>
  <c r="J36" i="11" s="1"/>
  <c r="BS353" i="13"/>
  <c r="BS349" i="13"/>
  <c r="J42" i="11" s="1"/>
  <c r="BS350" i="13"/>
  <c r="J43" i="11" s="1"/>
  <c r="BS346" i="13"/>
  <c r="J39" i="11" s="1"/>
  <c r="BS351" i="13"/>
  <c r="J44" i="11" s="1"/>
  <c r="BS352" i="13"/>
  <c r="BS345" i="13"/>
  <c r="J38" i="11" s="1"/>
  <c r="BS348" i="13"/>
  <c r="J41" i="11" s="1"/>
  <c r="X225" i="13"/>
  <c r="X226" i="13"/>
  <c r="X227" i="13"/>
  <c r="X228" i="13"/>
  <c r="X229" i="13"/>
  <c r="X189" i="13"/>
  <c r="X192" i="13"/>
  <c r="X175" i="13"/>
  <c r="X138" i="13"/>
  <c r="X144" i="13"/>
  <c r="X148" i="13"/>
  <c r="X130" i="13"/>
  <c r="BW192" i="13"/>
  <c r="BW189" i="13"/>
  <c r="BW148" i="13"/>
  <c r="E219" i="13"/>
  <c r="E220" i="13"/>
  <c r="E221" i="13"/>
  <c r="E216" i="5" s="1"/>
  <c r="E222" i="13"/>
  <c r="E223" i="13"/>
  <c r="E224" i="13"/>
  <c r="E225" i="13"/>
  <c r="E226" i="13"/>
  <c r="C177" i="5" l="1"/>
  <c r="D176" i="21"/>
  <c r="C76" i="5"/>
  <c r="D75" i="21"/>
  <c r="C208" i="5"/>
  <c r="D208" i="21" s="1"/>
  <c r="D207" i="21"/>
  <c r="C49" i="5"/>
  <c r="D48" i="21"/>
  <c r="C127" i="5"/>
  <c r="D125" i="21"/>
  <c r="E218" i="5"/>
  <c r="E220" i="5"/>
  <c r="E219" i="5"/>
  <c r="E221" i="5"/>
  <c r="E222" i="21" s="1"/>
  <c r="E215" i="5"/>
  <c r="E217" i="5"/>
  <c r="E214" i="5"/>
  <c r="J46" i="11"/>
  <c r="O5" i="3"/>
  <c r="AB12" i="21"/>
  <c r="AB14" i="21"/>
  <c r="AB15" i="21"/>
  <c r="AB38" i="21"/>
  <c r="AB41" i="21"/>
  <c r="AB42" i="21"/>
  <c r="AB63" i="21"/>
  <c r="AB66" i="21"/>
  <c r="AB68" i="21"/>
  <c r="AB92" i="21"/>
  <c r="AB101" i="21"/>
  <c r="AB105" i="21"/>
  <c r="AB114" i="21"/>
  <c r="AB143" i="21"/>
  <c r="AB144" i="21"/>
  <c r="AB157" i="21"/>
  <c r="AB159" i="21"/>
  <c r="AB189" i="21"/>
  <c r="AB190" i="21"/>
  <c r="AB191" i="21"/>
  <c r="CE79" i="13"/>
  <c r="C128" i="5" l="1"/>
  <c r="D127" i="21"/>
  <c r="C50" i="5"/>
  <c r="D49" i="21"/>
  <c r="C78" i="5"/>
  <c r="D76" i="21"/>
  <c r="C179" i="5"/>
  <c r="D177" i="21"/>
  <c r="E218" i="21"/>
  <c r="E221" i="21"/>
  <c r="E216" i="21"/>
  <c r="E219" i="21"/>
  <c r="E217" i="21"/>
  <c r="E220" i="21"/>
  <c r="E215"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C180" i="5" l="1"/>
  <c r="D179" i="21"/>
  <c r="C79" i="5"/>
  <c r="D78" i="21"/>
  <c r="C52" i="5"/>
  <c r="D50" i="21"/>
  <c r="C129" i="5"/>
  <c r="D128" i="21"/>
  <c r="AI195" i="5"/>
  <c r="AI200" i="5"/>
  <c r="AI203" i="5"/>
  <c r="AI206" i="5"/>
  <c r="AI130" i="5"/>
  <c r="AI109" i="5"/>
  <c r="AI107" i="5"/>
  <c r="AI90" i="5"/>
  <c r="AI80" i="5"/>
  <c r="AI77" i="5"/>
  <c r="AI73" i="5"/>
  <c r="AI51" i="5"/>
  <c r="AI46" i="5"/>
  <c r="AI38" i="5"/>
  <c r="E325" i="13"/>
  <c r="BX233" i="13"/>
  <c r="BX216" i="13"/>
  <c r="BX199" i="13"/>
  <c r="BX168" i="13"/>
  <c r="BX154" i="13"/>
  <c r="BX125" i="13"/>
  <c r="BX112" i="13"/>
  <c r="BX99" i="13"/>
  <c r="BX68" i="13"/>
  <c r="BX38" i="13"/>
  <c r="BX9" i="13"/>
  <c r="E293" i="13"/>
  <c r="E294" i="13"/>
  <c r="E295" i="13"/>
  <c r="E296" i="13"/>
  <c r="E297" i="13"/>
  <c r="E298" i="13"/>
  <c r="E299" i="13"/>
  <c r="E300" i="13"/>
  <c r="E301" i="13"/>
  <c r="E302" i="13"/>
  <c r="E303" i="13"/>
  <c r="E304" i="13"/>
  <c r="E305" i="13"/>
  <c r="E306" i="13"/>
  <c r="E307" i="13"/>
  <c r="E308" i="13"/>
  <c r="E309" i="13"/>
  <c r="E310" i="13"/>
  <c r="E311" i="13"/>
  <c r="E312" i="13"/>
  <c r="C131" i="5" l="1"/>
  <c r="D129" i="21"/>
  <c r="C53" i="5"/>
  <c r="D52" i="21"/>
  <c r="C81" i="5"/>
  <c r="D79" i="21"/>
  <c r="C181" i="5"/>
  <c r="D180"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22" i="21"/>
  <c r="AB220" i="21"/>
  <c r="AB210" i="21"/>
  <c r="AB179" i="21"/>
  <c r="AB178" i="21"/>
  <c r="AB160" i="21"/>
  <c r="AB146" i="21"/>
  <c r="AB140" i="21"/>
  <c r="AB139" i="21"/>
  <c r="AB100" i="21"/>
  <c r="AB98" i="21"/>
  <c r="AB96" i="21"/>
  <c r="AB13" i="21"/>
  <c r="C183" i="5" l="1"/>
  <c r="D181" i="21"/>
  <c r="C82" i="5"/>
  <c r="D81" i="21"/>
  <c r="C54" i="5"/>
  <c r="D53" i="21"/>
  <c r="C132" i="5"/>
  <c r="D131" i="21"/>
  <c r="AK5" i="5"/>
  <c r="AK4" i="5"/>
  <c r="AK3" i="5"/>
  <c r="C133" i="5" l="1"/>
  <c r="D132" i="21"/>
  <c r="C56" i="5"/>
  <c r="D54" i="21"/>
  <c r="C84" i="5"/>
  <c r="D82" i="21"/>
  <c r="C185" i="5"/>
  <c r="D183" i="21"/>
  <c r="AJ4" i="5"/>
  <c r="AS11" i="5" s="1"/>
  <c r="Z1" i="5"/>
  <c r="P2" i="12"/>
  <c r="P2" i="8"/>
  <c r="Z1" i="21"/>
  <c r="N2" i="11"/>
  <c r="C186" i="5" l="1"/>
  <c r="D185" i="21"/>
  <c r="C86" i="5"/>
  <c r="D84" i="21"/>
  <c r="C57" i="5"/>
  <c r="D56" i="21"/>
  <c r="C134" i="5"/>
  <c r="D133" i="21"/>
  <c r="AU257" i="5"/>
  <c r="AT254" i="5"/>
  <c r="AS259" i="5"/>
  <c r="AU258" i="5"/>
  <c r="AT257" i="5"/>
  <c r="AS254" i="5"/>
  <c r="AU259" i="5"/>
  <c r="AT258" i="5"/>
  <c r="AS257" i="5"/>
  <c r="AS258" i="5"/>
  <c r="AU254" i="5"/>
  <c r="AT259" i="5"/>
  <c r="AU246" i="5"/>
  <c r="AT246" i="5"/>
  <c r="AS246" i="5"/>
  <c r="AU236" i="5"/>
  <c r="AS236" i="5"/>
  <c r="AT236" i="5"/>
  <c r="AB9" i="21"/>
  <c r="AU255" i="5"/>
  <c r="AT255" i="5"/>
  <c r="AS255" i="5"/>
  <c r="AB7" i="21"/>
  <c r="AB9" i="5"/>
  <c r="AS27" i="5"/>
  <c r="AB4" i="21"/>
  <c r="AB5" i="21"/>
  <c r="AU35" i="5"/>
  <c r="AU27" i="5"/>
  <c r="AU58" i="5"/>
  <c r="AU61" i="5"/>
  <c r="AS163" i="5"/>
  <c r="AT211" i="5"/>
  <c r="AU217" i="5"/>
  <c r="AS195" i="5"/>
  <c r="AU118" i="5"/>
  <c r="AS216" i="5"/>
  <c r="AT103" i="5"/>
  <c r="AS200" i="5"/>
  <c r="AT92" i="5"/>
  <c r="AT65" i="5"/>
  <c r="AT58" i="5"/>
  <c r="AT51" i="5"/>
  <c r="AT80" i="5"/>
  <c r="AT214" i="5"/>
  <c r="AU256" i="5"/>
  <c r="AS203" i="5"/>
  <c r="AU64" i="5"/>
  <c r="AU166" i="5"/>
  <c r="AT148" i="5"/>
  <c r="AU178" i="5"/>
  <c r="AS83" i="5"/>
  <c r="AT17" i="5"/>
  <c r="AU20" i="5"/>
  <c r="AS35" i="5"/>
  <c r="AU17" i="5"/>
  <c r="AS17" i="5"/>
  <c r="AU160" i="5"/>
  <c r="AS65" i="5"/>
  <c r="AS117" i="5"/>
  <c r="AS209" i="5"/>
  <c r="AT194" i="5"/>
  <c r="AU192" i="5"/>
  <c r="AS90" i="5"/>
  <c r="AS147" i="5"/>
  <c r="AS217" i="5"/>
  <c r="AT104" i="5"/>
  <c r="AT216" i="5"/>
  <c r="AS162" i="5"/>
  <c r="AU103" i="5"/>
  <c r="AT66" i="5"/>
  <c r="AS206" i="5"/>
  <c r="AU145" i="5"/>
  <c r="AT95" i="5"/>
  <c r="AT218" i="5"/>
  <c r="AS166" i="5"/>
  <c r="AU107" i="5"/>
  <c r="AT77" i="5"/>
  <c r="AT203" i="5"/>
  <c r="AS145" i="5"/>
  <c r="AU94" i="5"/>
  <c r="AV195" i="5"/>
  <c r="AT36" i="5"/>
  <c r="AU11" i="5"/>
  <c r="AU113" i="5"/>
  <c r="AU36" i="5"/>
  <c r="AS36" i="5"/>
  <c r="AU209" i="5"/>
  <c r="AS107" i="5"/>
  <c r="AT64" i="5"/>
  <c r="AU161" i="5"/>
  <c r="AS66" i="5"/>
  <c r="AU126" i="5"/>
  <c r="AT215" i="5"/>
  <c r="AU102" i="5"/>
  <c r="AT61" i="5"/>
  <c r="AS178" i="5"/>
  <c r="AT130" i="5"/>
  <c r="AT93" i="5"/>
  <c r="AT160" i="5"/>
  <c r="AU116" i="5"/>
  <c r="AT109" i="5"/>
  <c r="AU210" i="5"/>
  <c r="AS226" i="5"/>
  <c r="AT115" i="5"/>
  <c r="AS210" i="5"/>
  <c r="AU147" i="5"/>
  <c r="AT27" i="5"/>
  <c r="AT11" i="5"/>
  <c r="AT35" i="5"/>
  <c r="AU31" i="5"/>
  <c r="AS55" i="5"/>
  <c r="AT147" i="5"/>
  <c r="AT217" i="5"/>
  <c r="AU104" i="5"/>
  <c r="AU194" i="5"/>
  <c r="AU182" i="5"/>
  <c r="AT116" i="5"/>
  <c r="AS87" i="5"/>
  <c r="AT163" i="5"/>
  <c r="AU211" i="5"/>
  <c r="AU101" i="5"/>
  <c r="AU213" i="5"/>
  <c r="AT158" i="5"/>
  <c r="AS101" i="5"/>
  <c r="AU63" i="5"/>
  <c r="AT200" i="5"/>
  <c r="AS256" i="5"/>
  <c r="AU92" i="5"/>
  <c r="AU215" i="5"/>
  <c r="AT161" i="5"/>
  <c r="AS103" i="5"/>
  <c r="AU65" i="5"/>
  <c r="AU195" i="5"/>
  <c r="AT126" i="5"/>
  <c r="AS92" i="5"/>
  <c r="AV109" i="5"/>
  <c r="AS194" i="5"/>
  <c r="AS161" i="5"/>
  <c r="AT20" i="5"/>
  <c r="AT37" i="5"/>
  <c r="AT98" i="5"/>
  <c r="AT94" i="5"/>
  <c r="AS219" i="5"/>
  <c r="AU51" i="5"/>
  <c r="AS37" i="5"/>
  <c r="AU55" i="5"/>
  <c r="AS31" i="5"/>
  <c r="AS58" i="5"/>
  <c r="AT55" i="5"/>
  <c r="AS126" i="5"/>
  <c r="AS212" i="5"/>
  <c r="AT174" i="5"/>
  <c r="AT219" i="5"/>
  <c r="AS174" i="5"/>
  <c r="AU109" i="5"/>
  <c r="AS154" i="5"/>
  <c r="AS220" i="5"/>
  <c r="AT113" i="5"/>
  <c r="AS211" i="5"/>
  <c r="AU148" i="5"/>
  <c r="AT220" i="5"/>
  <c r="AU193" i="5"/>
  <c r="AT118" i="5"/>
  <c r="AS213" i="5"/>
  <c r="AU154" i="5"/>
  <c r="AS63" i="5"/>
  <c r="AS193" i="5"/>
  <c r="AU117" i="5"/>
  <c r="AT90" i="5"/>
  <c r="AW46" i="5"/>
  <c r="AT46" i="5"/>
  <c r="AS94" i="5"/>
  <c r="AS160" i="5"/>
  <c r="AU216" i="5"/>
  <c r="AT162" i="5"/>
  <c r="AS104" i="5"/>
  <c r="AU66" i="5"/>
  <c r="AU130" i="5"/>
  <c r="AU214" i="5"/>
  <c r="AS102" i="5"/>
  <c r="AS192" i="5"/>
  <c r="AU93" i="5"/>
  <c r="AT206" i="5"/>
  <c r="AS146" i="5"/>
  <c r="AU95" i="5"/>
  <c r="AT226" i="5"/>
  <c r="AS182" i="5"/>
  <c r="AU115" i="5"/>
  <c r="AT83" i="5"/>
  <c r="AT210" i="5"/>
  <c r="AS148" i="5"/>
  <c r="AU220" i="5"/>
  <c r="AT178" i="5"/>
  <c r="AS115" i="5"/>
  <c r="AU80" i="5"/>
  <c r="AV46" i="5"/>
  <c r="AS61" i="5"/>
  <c r="AS20" i="5"/>
  <c r="AU46" i="5"/>
  <c r="AS215" i="5"/>
  <c r="AT102" i="5"/>
  <c r="AT192" i="5"/>
  <c r="AU87" i="5"/>
  <c r="AU146" i="5"/>
  <c r="AS214" i="5"/>
  <c r="AU158" i="5"/>
  <c r="AT101" i="5"/>
  <c r="AS64" i="5"/>
  <c r="AT117" i="5"/>
  <c r="AT209" i="5"/>
  <c r="AU98" i="5"/>
  <c r="AU162" i="5"/>
  <c r="AT87" i="5"/>
  <c r="AU200" i="5"/>
  <c r="AT256" i="5"/>
  <c r="AS93" i="5"/>
  <c r="AU218" i="5"/>
  <c r="AT166" i="5"/>
  <c r="AS109" i="5"/>
  <c r="AU77" i="5"/>
  <c r="AU203" i="5"/>
  <c r="AT145" i="5"/>
  <c r="AS95" i="5"/>
  <c r="AS218" i="5"/>
  <c r="AU163" i="5"/>
  <c r="AT107" i="5"/>
  <c r="AS77" i="5"/>
  <c r="AS46" i="5"/>
  <c r="AS51" i="5"/>
  <c r="AU37" i="5"/>
  <c r="AT31" i="5"/>
  <c r="AT195" i="5"/>
  <c r="AU219" i="5"/>
  <c r="AS113" i="5"/>
  <c r="AU206" i="5"/>
  <c r="AT146" i="5"/>
  <c r="AS98" i="5"/>
  <c r="AT212" i="5"/>
  <c r="AU174" i="5"/>
  <c r="AS80" i="5"/>
  <c r="AS130" i="5"/>
  <c r="AU226" i="5"/>
  <c r="AT182" i="5"/>
  <c r="AS116" i="5"/>
  <c r="AU83" i="5"/>
  <c r="AT213" i="5"/>
  <c r="AS158" i="5"/>
  <c r="AT63" i="5"/>
  <c r="AT193" i="5"/>
  <c r="AS118" i="5"/>
  <c r="AU90" i="5"/>
  <c r="AU212" i="5"/>
  <c r="AT154" i="5"/>
  <c r="BX5" i="13"/>
  <c r="H9" i="13"/>
  <c r="G9" i="13"/>
  <c r="F9" i="13"/>
  <c r="AC5" i="13"/>
  <c r="I9" i="13"/>
  <c r="E6" i="13"/>
  <c r="E256"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7" i="21"/>
  <c r="L37" i="21"/>
  <c r="N37" i="21"/>
  <c r="Q37" i="21"/>
  <c r="R37" i="21"/>
  <c r="S37" i="21"/>
  <c r="U37" i="21"/>
  <c r="X37" i="21"/>
  <c r="Y37" i="21"/>
  <c r="L65" i="21"/>
  <c r="N65" i="21"/>
  <c r="U65" i="21"/>
  <c r="O8" i="3"/>
  <c r="O9" i="3"/>
  <c r="O10" i="3"/>
  <c r="O11" i="3"/>
  <c r="O12" i="3"/>
  <c r="O13" i="3"/>
  <c r="O6" i="3"/>
  <c r="O7" i="3"/>
  <c r="U4" i="5"/>
  <c r="N4" i="5"/>
  <c r="B40" i="3"/>
  <c r="AX269" i="13"/>
  <c r="AC23" i="11"/>
  <c r="AC24" i="11"/>
  <c r="AC25" i="11"/>
  <c r="AC26" i="11"/>
  <c r="AC27" i="11"/>
  <c r="AC28" i="11"/>
  <c r="AC29" i="11"/>
  <c r="AC30" i="11"/>
  <c r="AC31" i="11"/>
  <c r="AC32" i="11"/>
  <c r="AF22" i="11"/>
  <c r="AE36" i="11" s="1"/>
  <c r="AE22" i="11"/>
  <c r="AD36" i="11" s="1"/>
  <c r="AD22" i="11"/>
  <c r="AC36" i="11" s="1"/>
  <c r="AB37" i="11"/>
  <c r="AB36" i="11"/>
  <c r="D6" i="11"/>
  <c r="C3" i="12"/>
  <c r="E6" i="5"/>
  <c r="E6" i="21" s="1"/>
  <c r="M6" i="11"/>
  <c r="AC64" i="5"/>
  <c r="AC65" i="5"/>
  <c r="AC93" i="5"/>
  <c r="AC94" i="5"/>
  <c r="AC102" i="5"/>
  <c r="AC103" i="5"/>
  <c r="AC116" i="5"/>
  <c r="AC117" i="5"/>
  <c r="AC146" i="5"/>
  <c r="AC147" i="5"/>
  <c r="AC161" i="5"/>
  <c r="AC162" i="5"/>
  <c r="AC193" i="5"/>
  <c r="AC194" i="5"/>
  <c r="AC210" i="5"/>
  <c r="AC211" i="5"/>
  <c r="AC10" i="5"/>
  <c r="AD256" i="5"/>
  <c r="AE256" i="5"/>
  <c r="AF256" i="5"/>
  <c r="AF11" i="5"/>
  <c r="AE11" i="5"/>
  <c r="AD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E213" i="5"/>
  <c r="E214" i="21" s="1"/>
  <c r="E217" i="13"/>
  <c r="V306" i="11"/>
  <c r="V303" i="11"/>
  <c r="V302" i="11"/>
  <c r="V301" i="11"/>
  <c r="V300" i="11"/>
  <c r="V299" i="11"/>
  <c r="V304" i="11"/>
  <c r="T306" i="11"/>
  <c r="T305" i="11"/>
  <c r="T304" i="11"/>
  <c r="T303" i="11"/>
  <c r="T302" i="11"/>
  <c r="T301" i="11"/>
  <c r="T300" i="11"/>
  <c r="T299" i="11"/>
  <c r="T298" i="11"/>
  <c r="T297" i="11"/>
  <c r="V297" i="11"/>
  <c r="V305" i="11"/>
  <c r="V298" i="11"/>
  <c r="C54" i="3"/>
  <c r="E5" i="5"/>
  <c r="E5" i="21" s="1"/>
  <c r="T166" i="13" l="1"/>
  <c r="BA235" i="13"/>
  <c r="BC235" i="13"/>
  <c r="BB235" i="13"/>
  <c r="AY235" i="13"/>
  <c r="T235" i="13"/>
  <c r="AB235" i="13" s="1"/>
  <c r="AZ235" i="13"/>
  <c r="D134" i="21"/>
  <c r="C135" i="5"/>
  <c r="D135" i="21" s="1"/>
  <c r="C59" i="5"/>
  <c r="D57" i="21"/>
  <c r="C88" i="5"/>
  <c r="D86" i="21"/>
  <c r="C188" i="5"/>
  <c r="D186" i="21"/>
  <c r="BC250" i="13"/>
  <c r="AZ250" i="13"/>
  <c r="AY250" i="13"/>
  <c r="BB250" i="13"/>
  <c r="BA250" i="13"/>
  <c r="T250" i="13"/>
  <c r="T253" i="13"/>
  <c r="AB253" i="13" s="1"/>
  <c r="T254" i="13"/>
  <c r="T255" i="13"/>
  <c r="AB255" i="13" s="1"/>
  <c r="F150" i="5" s="1"/>
  <c r="BC72" i="13"/>
  <c r="BB72" i="13"/>
  <c r="E212"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Y92" i="13" s="1"/>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Y94" i="13" s="1"/>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8"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F119" i="5"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8" i="13"/>
  <c r="I258" i="13"/>
  <c r="H258" i="13"/>
  <c r="G258" i="13"/>
  <c r="BA237" i="13"/>
  <c r="BC228" i="13"/>
  <c r="BC229" i="13"/>
  <c r="BC227" i="13"/>
  <c r="BC226" i="13"/>
  <c r="T228" i="13"/>
  <c r="AA228" i="13" s="1"/>
  <c r="T130" i="13"/>
  <c r="AA130" i="13" s="1"/>
  <c r="D79" i="16"/>
  <c r="AJ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W113" i="5" s="1"/>
  <c r="W112" i="21" s="1"/>
  <c r="BC224" i="13"/>
  <c r="BC218" i="13"/>
  <c r="BC207" i="13"/>
  <c r="T214" i="13"/>
  <c r="D91" i="16" s="1"/>
  <c r="D88" i="16"/>
  <c r="BJ100" i="13"/>
  <c r="BK100" i="13" s="1"/>
  <c r="W95" i="5"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Y91" i="13" l="1"/>
  <c r="F40" i="5"/>
  <c r="AJ235" i="13"/>
  <c r="BG235" i="13" s="1"/>
  <c r="BH235" i="13" s="1"/>
  <c r="P40" i="5" s="1"/>
  <c r="AI235" i="13"/>
  <c r="BD235" i="13" s="1"/>
  <c r="BE235" i="13" s="1"/>
  <c r="I40" i="5" s="1"/>
  <c r="AK235" i="13"/>
  <c r="BJ235" i="13" s="1"/>
  <c r="BK235" i="13" s="1"/>
  <c r="W40" i="5" s="1"/>
  <c r="D188" i="21"/>
  <c r="C189" i="5"/>
  <c r="C190" i="5"/>
  <c r="D190" i="21" s="1"/>
  <c r="C89" i="5"/>
  <c r="D88" i="21"/>
  <c r="C60" i="5"/>
  <c r="D59" i="21"/>
  <c r="E213" i="21"/>
  <c r="AJ104" i="13"/>
  <c r="AI104" i="13"/>
  <c r="AK104" i="13"/>
  <c r="U51" i="13"/>
  <c r="AA51" i="13" s="1"/>
  <c r="AI255" i="13"/>
  <c r="AJ255" i="13"/>
  <c r="AK255" i="13"/>
  <c r="F70" i="5"/>
  <c r="AC70" i="5" s="1"/>
  <c r="AK253" i="13"/>
  <c r="AI253" i="13"/>
  <c r="AJ253" i="13"/>
  <c r="E212" i="21"/>
  <c r="W95" i="21"/>
  <c r="W96" i="21"/>
  <c r="U145" i="13"/>
  <c r="AB209" i="21"/>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BJ251" i="13" s="1"/>
  <c r="AJ251" i="13"/>
  <c r="U210" i="13"/>
  <c r="AA210" i="13" s="1"/>
  <c r="U80" i="13"/>
  <c r="U81" i="13" s="1"/>
  <c r="F153" i="5"/>
  <c r="Y77" i="13"/>
  <c r="D7" i="16"/>
  <c r="Y31" i="13"/>
  <c r="AA31" i="13" s="1"/>
  <c r="AB31" i="13" s="1"/>
  <c r="Y58" i="13"/>
  <c r="AA58" i="13" s="1"/>
  <c r="AB58" i="13" s="1"/>
  <c r="Y221" i="13"/>
  <c r="AA221" i="13" s="1"/>
  <c r="AB221" i="13" s="1"/>
  <c r="I28" i="3" s="1"/>
  <c r="Y76" i="13"/>
  <c r="AA76" i="13" s="1"/>
  <c r="AB76" i="13" s="1"/>
  <c r="Y61" i="13"/>
  <c r="AA61" i="13" s="1"/>
  <c r="AB61" i="13" s="1"/>
  <c r="Y206" i="13"/>
  <c r="AA206" i="13" s="1"/>
  <c r="U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F132" i="5" s="1"/>
  <c r="AB23" i="13"/>
  <c r="AB102" i="13"/>
  <c r="AB191" i="13"/>
  <c r="AB122" i="13"/>
  <c r="AB188" i="13"/>
  <c r="AB136" i="13"/>
  <c r="AB73" i="13"/>
  <c r="AB182" i="13"/>
  <c r="AB118" i="13"/>
  <c r="AB156" i="13"/>
  <c r="F149" i="5" s="1"/>
  <c r="AC149" i="5" s="1"/>
  <c r="AB116" i="13"/>
  <c r="AB194" i="13"/>
  <c r="AB149" i="13"/>
  <c r="AB71" i="13"/>
  <c r="AI71" i="13" s="1"/>
  <c r="AB72" i="13"/>
  <c r="AB193" i="13"/>
  <c r="AB143" i="13"/>
  <c r="AB151" i="13"/>
  <c r="AB105" i="13"/>
  <c r="AB132" i="13"/>
  <c r="AB87" i="13"/>
  <c r="AB150" i="13"/>
  <c r="F143" i="5" s="1"/>
  <c r="AB174" i="13"/>
  <c r="AB131" i="13"/>
  <c r="AI131" i="13" s="1"/>
  <c r="AB57" i="13"/>
  <c r="AB133" i="13"/>
  <c r="F256" i="5"/>
  <c r="F165" i="5"/>
  <c r="U165" i="13"/>
  <c r="F39" i="5"/>
  <c r="T113" i="13"/>
  <c r="AA113" i="13" s="1"/>
  <c r="AB88" i="13"/>
  <c r="U89" i="13"/>
  <c r="AB209" i="13"/>
  <c r="D90" i="16"/>
  <c r="AB24" i="13"/>
  <c r="D21" i="16"/>
  <c r="D24" i="16"/>
  <c r="T170" i="13"/>
  <c r="AA170" i="13" s="1"/>
  <c r="T41" i="13"/>
  <c r="AA41" i="13" s="1"/>
  <c r="T201" i="13"/>
  <c r="U201" i="13" s="1"/>
  <c r="U203" i="13" s="1"/>
  <c r="F197" i="5"/>
  <c r="D89" i="16"/>
  <c r="T200" i="13"/>
  <c r="AA200" i="13" s="1"/>
  <c r="D9" i="16"/>
  <c r="D61" i="16"/>
  <c r="D22" i="16"/>
  <c r="AB15" i="13"/>
  <c r="BD83" i="13"/>
  <c r="BE83" i="13" s="1"/>
  <c r="I80" i="5" s="1"/>
  <c r="BG83" i="13"/>
  <c r="BH83" i="13" s="1"/>
  <c r="P80" i="5" s="1"/>
  <c r="BJ83" i="13"/>
  <c r="BK83" i="13" s="1"/>
  <c r="W80" i="5" s="1"/>
  <c r="BG86" i="13"/>
  <c r="BH86" i="13" s="1"/>
  <c r="P83" i="5" s="1"/>
  <c r="BJ86" i="13"/>
  <c r="BK86" i="13" s="1"/>
  <c r="W83" i="5" s="1"/>
  <c r="BD86" i="13"/>
  <c r="BE86" i="13" s="1"/>
  <c r="I83" i="5" s="1"/>
  <c r="D44" i="16"/>
  <c r="BG103" i="13"/>
  <c r="BH103" i="13" s="1"/>
  <c r="P98" i="5" s="1"/>
  <c r="BJ103" i="13"/>
  <c r="BK103" i="13" s="1"/>
  <c r="W98" i="5" s="1"/>
  <c r="BD103" i="13"/>
  <c r="BE103" i="13" s="1"/>
  <c r="I98" i="5" s="1"/>
  <c r="BG95" i="13"/>
  <c r="BH95" i="13" s="1"/>
  <c r="BJ95" i="13"/>
  <c r="BK95" i="13" s="1"/>
  <c r="BD95" i="13"/>
  <c r="BE95" i="13" s="1"/>
  <c r="BG55" i="13"/>
  <c r="BH55" i="13" s="1"/>
  <c r="BJ55" i="13"/>
  <c r="BK55" i="13" s="1"/>
  <c r="BD55" i="13"/>
  <c r="BE55" i="13" s="1"/>
  <c r="BG117" i="13"/>
  <c r="BH117" i="13" s="1"/>
  <c r="P109" i="5" s="1"/>
  <c r="P109" i="21" s="1"/>
  <c r="BJ117" i="13"/>
  <c r="BK117" i="13" s="1"/>
  <c r="W109" i="5" s="1"/>
  <c r="W109" i="21" s="1"/>
  <c r="BD117" i="13"/>
  <c r="BE117" i="13" s="1"/>
  <c r="I109" i="5" s="1"/>
  <c r="I109" i="21" s="1"/>
  <c r="BG138" i="13"/>
  <c r="BH138" i="13" s="1"/>
  <c r="P130" i="5" s="1"/>
  <c r="BD138" i="13"/>
  <c r="BE138" i="13" s="1"/>
  <c r="I130" i="5" s="1"/>
  <c r="BJ138" i="13"/>
  <c r="BK138" i="13" s="1"/>
  <c r="W130" i="5" s="1"/>
  <c r="AB25" i="13"/>
  <c r="AB177" i="13"/>
  <c r="AB44" i="13"/>
  <c r="BD82" i="13"/>
  <c r="BE82" i="13" s="1"/>
  <c r="BG82" i="13"/>
  <c r="BH82" i="13" s="1"/>
  <c r="BJ82" i="13"/>
  <c r="BK82" i="13" s="1"/>
  <c r="D76" i="16"/>
  <c r="D53" i="16"/>
  <c r="BJ160" i="13"/>
  <c r="BK160" i="13" s="1"/>
  <c r="W154" i="5" s="1"/>
  <c r="BG160" i="13"/>
  <c r="BH160" i="13" s="1"/>
  <c r="P154" i="5" s="1"/>
  <c r="BD160" i="13"/>
  <c r="BE160" i="13" s="1"/>
  <c r="BG179" i="13"/>
  <c r="BH179" i="13" s="1"/>
  <c r="P174" i="5" s="1"/>
  <c r="BJ179" i="13"/>
  <c r="BK179" i="13" s="1"/>
  <c r="W174" i="5" s="1"/>
  <c r="BD179" i="13"/>
  <c r="BE179" i="13" s="1"/>
  <c r="I174" i="5" s="1"/>
  <c r="AB11" i="13"/>
  <c r="AB17" i="13"/>
  <c r="BJ230" i="13"/>
  <c r="BK230" i="13" s="1"/>
  <c r="W225" i="5" s="1"/>
  <c r="BD230" i="13"/>
  <c r="BE230" i="13" s="1"/>
  <c r="I225" i="5" s="1"/>
  <c r="BG230" i="13"/>
  <c r="BH230" i="13" s="1"/>
  <c r="P225" i="5" s="1"/>
  <c r="AB157" i="13"/>
  <c r="D13" i="16"/>
  <c r="AB35" i="13"/>
  <c r="D10" i="16"/>
  <c r="AB172" i="13"/>
  <c r="AB120" i="13"/>
  <c r="AB128" i="13"/>
  <c r="AB180" i="13"/>
  <c r="F99" i="5"/>
  <c r="AB135" i="13"/>
  <c r="AB45" i="13"/>
  <c r="BG208" i="13"/>
  <c r="BH208" i="13" s="1"/>
  <c r="P203" i="5" s="1"/>
  <c r="P204" i="21" s="1"/>
  <c r="BD208" i="13"/>
  <c r="BE208" i="13" s="1"/>
  <c r="I203" i="5" s="1"/>
  <c r="I204" i="21" s="1"/>
  <c r="BJ208" i="13"/>
  <c r="BK208" i="13" s="1"/>
  <c r="W203" i="5" s="1"/>
  <c r="W204" i="21" s="1"/>
  <c r="AB21" i="13"/>
  <c r="AB186" i="13"/>
  <c r="AB176" i="13"/>
  <c r="BG183" i="13"/>
  <c r="BH183" i="13" s="1"/>
  <c r="P178" i="5" s="1"/>
  <c r="BJ183" i="13"/>
  <c r="BK183" i="13" s="1"/>
  <c r="W178" i="5" s="1"/>
  <c r="BD183" i="13"/>
  <c r="BE183" i="13" s="1"/>
  <c r="I178" i="5" s="1"/>
  <c r="AB230" i="13"/>
  <c r="AK230" i="13" s="1"/>
  <c r="AB137" i="13"/>
  <c r="AB43" i="13"/>
  <c r="AB158" i="13"/>
  <c r="AI158" i="13" s="1"/>
  <c r="BD207" i="13"/>
  <c r="BE207" i="13" s="1"/>
  <c r="BG207" i="13"/>
  <c r="BH207" i="13" s="1"/>
  <c r="BJ207" i="13"/>
  <c r="BK207" i="13" s="1"/>
  <c r="BJ16" i="13"/>
  <c r="BK16" i="13" s="1"/>
  <c r="W17" i="5" s="1"/>
  <c r="W17" i="21" s="1"/>
  <c r="BG16" i="13"/>
  <c r="BH16" i="13" s="1"/>
  <c r="P17" i="5" s="1"/>
  <c r="P17" i="21" s="1"/>
  <c r="BD16" i="13"/>
  <c r="BE16" i="13" s="1"/>
  <c r="I17" i="5" s="1"/>
  <c r="I17" i="21" s="1"/>
  <c r="BJ79" i="13"/>
  <c r="BK79" i="13" s="1"/>
  <c r="W77" i="5" s="1"/>
  <c r="W78" i="21" s="1"/>
  <c r="BD79" i="13"/>
  <c r="BE79" i="13" s="1"/>
  <c r="I77" i="5" s="1"/>
  <c r="BG79" i="13"/>
  <c r="BH79" i="13" s="1"/>
  <c r="P77" i="5" s="1"/>
  <c r="BG63" i="13"/>
  <c r="BH63" i="13" s="1"/>
  <c r="P61" i="5" s="1"/>
  <c r="BD63" i="13"/>
  <c r="BE63" i="13" s="1"/>
  <c r="BJ63" i="13"/>
  <c r="BK63" i="13" s="1"/>
  <c r="W61" i="5" s="1"/>
  <c r="BD19" i="13"/>
  <c r="BE19" i="13" s="1"/>
  <c r="BG19" i="13"/>
  <c r="BH19" i="13" s="1"/>
  <c r="P20" i="5" s="1"/>
  <c r="P20" i="21" s="1"/>
  <c r="BJ19" i="13"/>
  <c r="BK19" i="13" s="1"/>
  <c r="W20" i="5" s="1"/>
  <c r="BG134" i="13"/>
  <c r="BH134" i="13" s="1"/>
  <c r="P126" i="5" s="1"/>
  <c r="BJ134" i="13"/>
  <c r="BK134" i="13" s="1"/>
  <c r="W126" i="5" s="1"/>
  <c r="BD134" i="13"/>
  <c r="BE134" i="13" s="1"/>
  <c r="I126" i="5" s="1"/>
  <c r="AB14" i="13"/>
  <c r="BJ122" i="13"/>
  <c r="BK122" i="13" s="1"/>
  <c r="W114" i="5" s="1"/>
  <c r="BD122" i="13"/>
  <c r="BE122" i="13" s="1"/>
  <c r="I114" i="5" s="1"/>
  <c r="BG122" i="13"/>
  <c r="BH122" i="13" s="1"/>
  <c r="P114" i="5" s="1"/>
  <c r="AB173" i="13"/>
  <c r="AB185" i="13"/>
  <c r="AB141" i="13"/>
  <c r="D11" i="16"/>
  <c r="D12" i="16"/>
  <c r="AB12" i="13"/>
  <c r="BG30" i="13"/>
  <c r="BH30" i="13" s="1"/>
  <c r="P31" i="5" s="1"/>
  <c r="P31" i="21" s="1"/>
  <c r="BJ30" i="13"/>
  <c r="BK30" i="13" s="1"/>
  <c r="W31" i="5" s="1"/>
  <c r="W31" i="21" s="1"/>
  <c r="BD30" i="13"/>
  <c r="BE30" i="13" s="1"/>
  <c r="BG175" i="13"/>
  <c r="BH175" i="13" s="1"/>
  <c r="P170" i="5" s="1"/>
  <c r="BJ175" i="13"/>
  <c r="BK175" i="13" s="1"/>
  <c r="W170" i="5" s="1"/>
  <c r="BD175" i="13"/>
  <c r="BE175" i="13" s="1"/>
  <c r="I170" i="5" s="1"/>
  <c r="BG59" i="13"/>
  <c r="BH59" i="13" s="1"/>
  <c r="P58" i="5" s="1"/>
  <c r="BD59" i="13"/>
  <c r="BE59" i="13" s="1"/>
  <c r="BJ59" i="13"/>
  <c r="BK59" i="13" s="1"/>
  <c r="W58" i="5" s="1"/>
  <c r="BG90" i="13"/>
  <c r="BH90" i="13" s="1"/>
  <c r="P87" i="5" s="1"/>
  <c r="P87" i="21" s="1"/>
  <c r="BJ90" i="13"/>
  <c r="BK90" i="13" s="1"/>
  <c r="W87" i="5" s="1"/>
  <c r="W87" i="21" s="1"/>
  <c r="BD90" i="13"/>
  <c r="BE90" i="13" s="1"/>
  <c r="I87" i="5" s="1"/>
  <c r="I87" i="21" s="1"/>
  <c r="BD56" i="13"/>
  <c r="BE56" i="13" s="1"/>
  <c r="I55" i="5" s="1"/>
  <c r="I55" i="21" s="1"/>
  <c r="BG56" i="13"/>
  <c r="BH56" i="13" s="1"/>
  <c r="P55" i="5" s="1"/>
  <c r="P55" i="21" s="1"/>
  <c r="BJ56" i="13"/>
  <c r="BK56" i="13" s="1"/>
  <c r="W55" i="5" s="1"/>
  <c r="W55" i="21" s="1"/>
  <c r="BD35" i="13"/>
  <c r="BE35" i="13" s="1"/>
  <c r="BG35" i="13"/>
  <c r="BH35" i="13" s="1"/>
  <c r="BJ35" i="13"/>
  <c r="BK35" i="13" s="1"/>
  <c r="BJ189" i="13"/>
  <c r="BK189" i="13" s="1"/>
  <c r="W184" i="5" s="1"/>
  <c r="BD189" i="13"/>
  <c r="BE189" i="13" s="1"/>
  <c r="I184" i="5" s="1"/>
  <c r="BG189" i="13"/>
  <c r="BH189" i="13" s="1"/>
  <c r="P184" i="5" s="1"/>
  <c r="AB22" i="13"/>
  <c r="AB27" i="13"/>
  <c r="BJ148" i="13"/>
  <c r="BK148" i="13" s="1"/>
  <c r="W141" i="5" s="1"/>
  <c r="BG148" i="13"/>
  <c r="BH148" i="13" s="1"/>
  <c r="P141" i="5" s="1"/>
  <c r="BD148" i="13"/>
  <c r="BE148" i="13" s="1"/>
  <c r="AB101" i="13"/>
  <c r="BG62" i="13"/>
  <c r="BH62" i="13" s="1"/>
  <c r="BJ62" i="13"/>
  <c r="BK62" i="13" s="1"/>
  <c r="BD62" i="13"/>
  <c r="BE62" i="13" s="1"/>
  <c r="AB29" i="13"/>
  <c r="AB13" i="13"/>
  <c r="BJ165" i="13"/>
  <c r="BK165" i="13" s="1"/>
  <c r="W159" i="5" s="1"/>
  <c r="BD165" i="13"/>
  <c r="BE165" i="13" s="1"/>
  <c r="I159" i="5" s="1"/>
  <c r="BG165" i="13"/>
  <c r="BH165" i="13" s="1"/>
  <c r="P159" i="5" s="1"/>
  <c r="AB129" i="13"/>
  <c r="BG51" i="13"/>
  <c r="BH51" i="13" s="1"/>
  <c r="P51" i="5" s="1"/>
  <c r="BD51" i="13"/>
  <c r="BE51" i="13" s="1"/>
  <c r="BJ51" i="13"/>
  <c r="BK51" i="13" s="1"/>
  <c r="W51" i="5" s="1"/>
  <c r="BG144" i="13"/>
  <c r="BH144" i="13" s="1"/>
  <c r="P136" i="5" s="1"/>
  <c r="BJ144" i="13"/>
  <c r="BK144" i="13" s="1"/>
  <c r="W136" i="5" s="1"/>
  <c r="BD144" i="13"/>
  <c r="BE144" i="13" s="1"/>
  <c r="I136" i="5" s="1"/>
  <c r="BG34" i="13"/>
  <c r="BH34" i="13" s="1"/>
  <c r="BJ34" i="13"/>
  <c r="BK34" i="13" s="1"/>
  <c r="BD34" i="13"/>
  <c r="BE34" i="13" s="1"/>
  <c r="AB20" i="13"/>
  <c r="BD93" i="13"/>
  <c r="BE93" i="13" s="1"/>
  <c r="I90" i="5" s="1"/>
  <c r="BG93" i="13"/>
  <c r="BH93" i="13" s="1"/>
  <c r="P90" i="5" s="1"/>
  <c r="BJ93" i="13"/>
  <c r="BK93" i="13" s="1"/>
  <c r="W90" i="5" s="1"/>
  <c r="AB18" i="13"/>
  <c r="AB139" i="13"/>
  <c r="AB127" i="13"/>
  <c r="AB196" i="13"/>
  <c r="AB178" i="13"/>
  <c r="BE204" i="13"/>
  <c r="I200" i="5" s="1"/>
  <c r="I201" i="21" s="1"/>
  <c r="BE126" i="13"/>
  <c r="I118" i="5" s="1"/>
  <c r="BE39" i="13"/>
  <c r="I38" i="5" s="1"/>
  <c r="I38" i="21" s="1"/>
  <c r="F258" i="5"/>
  <c r="AC258" i="5" s="1"/>
  <c r="F185" i="5"/>
  <c r="F259" i="5"/>
  <c r="F188" i="5"/>
  <c r="F245" i="5"/>
  <c r="T229" i="13"/>
  <c r="AA229" i="13" s="1"/>
  <c r="T227" i="13"/>
  <c r="AA227" i="13" s="1"/>
  <c r="T225" i="13"/>
  <c r="AA225" i="13" s="1"/>
  <c r="T243" i="13"/>
  <c r="AB243" i="13" s="1"/>
  <c r="F171" i="5" s="1"/>
  <c r="AC171" i="5"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W122" i="5" s="1"/>
  <c r="BG130" i="13"/>
  <c r="BH130" i="13" s="1"/>
  <c r="P122" i="5" s="1"/>
  <c r="BD130" i="13"/>
  <c r="BD192" i="13"/>
  <c r="BG192" i="13"/>
  <c r="BH192" i="13" s="1"/>
  <c r="P187" i="5" s="1"/>
  <c r="P187" i="21" s="1"/>
  <c r="BJ192" i="13"/>
  <c r="BK192" i="13" s="1"/>
  <c r="W187" i="5" s="1"/>
  <c r="W187" i="21" s="1"/>
  <c r="BY108" i="13"/>
  <c r="T219" i="13"/>
  <c r="T169" i="13"/>
  <c r="AA169" i="13" s="1"/>
  <c r="T217" i="13"/>
  <c r="AA217" i="13" s="1"/>
  <c r="T155" i="13"/>
  <c r="AA155" i="13" s="1"/>
  <c r="BG39" i="13"/>
  <c r="BH39" i="13" s="1"/>
  <c r="P38" i="5" s="1"/>
  <c r="P38" i="21" s="1"/>
  <c r="AR73" i="5"/>
  <c r="AR38" i="5"/>
  <c r="BY5" i="13"/>
  <c r="AS73" i="5"/>
  <c r="AV38" i="5"/>
  <c r="AW73" i="5"/>
  <c r="AW38" i="5"/>
  <c r="AT73" i="5"/>
  <c r="AX73" i="5"/>
  <c r="AT38" i="5"/>
  <c r="AU73" i="5"/>
  <c r="AU38" i="5"/>
  <c r="AS38" i="5"/>
  <c r="AX38" i="5"/>
  <c r="AV73" i="5"/>
  <c r="BJ39" i="13"/>
  <c r="BK39" i="13" s="1"/>
  <c r="W38" i="5" s="1"/>
  <c r="W38" i="21"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P118" i="5" s="1"/>
  <c r="BJ126" i="13"/>
  <c r="BK126" i="13" s="1"/>
  <c r="W118" i="5"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W200" i="5" s="1"/>
  <c r="W201" i="21" s="1"/>
  <c r="BG204" i="13"/>
  <c r="BH204" i="13" s="1"/>
  <c r="P200" i="5" s="1"/>
  <c r="P201" i="21" s="1"/>
  <c r="AB220" i="13"/>
  <c r="AK220" i="13" s="1"/>
  <c r="BG100" i="13"/>
  <c r="BH100" i="13" s="1"/>
  <c r="P95" i="5" s="1"/>
  <c r="BD107" i="13"/>
  <c r="BE107" i="13" s="1"/>
  <c r="BG107" i="13"/>
  <c r="BH107" i="13" s="1"/>
  <c r="BJ107" i="13"/>
  <c r="BK107" i="13" s="1"/>
  <c r="BD115" i="13"/>
  <c r="BJ115" i="13"/>
  <c r="BK115" i="13" s="1"/>
  <c r="W107" i="5" s="1"/>
  <c r="BG115" i="13"/>
  <c r="BH115" i="13" s="1"/>
  <c r="P107" i="5" s="1"/>
  <c r="BD159" i="13"/>
  <c r="BE159" i="13" s="1"/>
  <c r="BJ159" i="13"/>
  <c r="BK159" i="13" s="1"/>
  <c r="BG159" i="13"/>
  <c r="BH159" i="13" s="1"/>
  <c r="BD169" i="13"/>
  <c r="BG169" i="13"/>
  <c r="BH169" i="13" s="1"/>
  <c r="P163" i="5" s="1"/>
  <c r="BJ169" i="13"/>
  <c r="BK169" i="13" s="1"/>
  <c r="W163" i="5" s="1"/>
  <c r="BD171" i="13"/>
  <c r="BG171" i="13"/>
  <c r="BH171" i="13" s="1"/>
  <c r="P166" i="5" s="1"/>
  <c r="BJ171" i="13"/>
  <c r="BK171" i="13" s="1"/>
  <c r="W166" i="5" s="1"/>
  <c r="BD109" i="13"/>
  <c r="BE109" i="13" s="1"/>
  <c r="BJ109" i="13"/>
  <c r="BK109" i="13" s="1"/>
  <c r="BG109" i="13"/>
  <c r="BH109" i="13" s="1"/>
  <c r="BD121" i="13"/>
  <c r="BG121" i="13"/>
  <c r="BH121" i="13" s="1"/>
  <c r="P113" i="5" s="1"/>
  <c r="P112" i="21" s="1"/>
  <c r="BD164" i="13"/>
  <c r="BG164" i="13"/>
  <c r="BH164" i="13" s="1"/>
  <c r="P158" i="5" s="1"/>
  <c r="BJ164" i="13"/>
  <c r="BK164" i="13" s="1"/>
  <c r="W158" i="5" s="1"/>
  <c r="BD200" i="13"/>
  <c r="BJ200" i="13"/>
  <c r="BK200" i="13" s="1"/>
  <c r="W195" i="5" s="1"/>
  <c r="W196" i="21" s="1"/>
  <c r="BG200" i="13"/>
  <c r="BH200" i="13" s="1"/>
  <c r="P195" i="5" s="1"/>
  <c r="P196" i="21" s="1"/>
  <c r="D18" i="16"/>
  <c r="BD211" i="13"/>
  <c r="BG211" i="13"/>
  <c r="BH211" i="13" s="1"/>
  <c r="P206" i="5" s="1"/>
  <c r="P207" i="21" s="1"/>
  <c r="BJ211" i="13"/>
  <c r="BK211" i="13" s="1"/>
  <c r="W206" i="5" s="1"/>
  <c r="D8" i="16"/>
  <c r="D39" i="16"/>
  <c r="BD106" i="13"/>
  <c r="BE106" i="13" s="1"/>
  <c r="BG106" i="13"/>
  <c r="BH106" i="13" s="1"/>
  <c r="BJ106" i="13"/>
  <c r="BK106" i="13" s="1"/>
  <c r="AB218" i="13"/>
  <c r="AJ218" i="13" s="1"/>
  <c r="D19" i="16"/>
  <c r="D48" i="16"/>
  <c r="BD10" i="13"/>
  <c r="BJ10" i="13"/>
  <c r="BK10" i="13" s="1"/>
  <c r="W11" i="5" s="1"/>
  <c r="W11" i="21" s="1"/>
  <c r="BG10" i="13"/>
  <c r="BH10" i="13" s="1"/>
  <c r="D78" i="16"/>
  <c r="D54" i="16"/>
  <c r="BD108" i="13"/>
  <c r="BE108" i="13" s="1"/>
  <c r="BJ108" i="13"/>
  <c r="BK108" i="13" s="1"/>
  <c r="BG108" i="13"/>
  <c r="BH108" i="13" s="1"/>
  <c r="D98" i="16"/>
  <c r="D46" i="16"/>
  <c r="D23" i="16"/>
  <c r="J59" i="11" l="1"/>
  <c r="M76" i="11"/>
  <c r="BK251" i="13"/>
  <c r="L76" i="11"/>
  <c r="BG251" i="13"/>
  <c r="BH251" i="13" s="1"/>
  <c r="BD251" i="13"/>
  <c r="BD158" i="13" s="1"/>
  <c r="AP49" i="13"/>
  <c r="BB49" i="13" s="1"/>
  <c r="AO49" i="13"/>
  <c r="BA49" i="13" s="1"/>
  <c r="AA212" i="13"/>
  <c r="AC40" i="5"/>
  <c r="F40" i="21"/>
  <c r="AF40" i="21" s="1"/>
  <c r="W41" i="21"/>
  <c r="W40" i="21"/>
  <c r="I41" i="21"/>
  <c r="I40" i="21"/>
  <c r="P41" i="21"/>
  <c r="P40" i="21"/>
  <c r="BS253" i="13"/>
  <c r="L62" i="11"/>
  <c r="BT253" i="13"/>
  <c r="M62" i="11"/>
  <c r="BR253" i="13"/>
  <c r="K62" i="11"/>
  <c r="BR251" i="13"/>
  <c r="K76" i="11"/>
  <c r="BT255" i="13"/>
  <c r="M75" i="11"/>
  <c r="BJ252" i="13"/>
  <c r="M79" i="11"/>
  <c r="BS255" i="13"/>
  <c r="L75" i="11"/>
  <c r="BR255" i="13"/>
  <c r="K75" i="11"/>
  <c r="BG252" i="13"/>
  <c r="L79" i="11"/>
  <c r="W159" i="21"/>
  <c r="W58" i="21"/>
  <c r="W59" i="21"/>
  <c r="W61" i="21"/>
  <c r="W62" i="21"/>
  <c r="P58" i="21"/>
  <c r="P59" i="21"/>
  <c r="P61" i="21"/>
  <c r="P62" i="21"/>
  <c r="I19" i="3"/>
  <c r="W51" i="21"/>
  <c r="W52" i="21"/>
  <c r="W206" i="21"/>
  <c r="W207" i="21"/>
  <c r="P51" i="21"/>
  <c r="P52" i="21"/>
  <c r="P159" i="21"/>
  <c r="C62" i="5"/>
  <c r="D62" i="21" s="1"/>
  <c r="D60" i="21"/>
  <c r="C91" i="5"/>
  <c r="D91" i="21" s="1"/>
  <c r="D89" i="21"/>
  <c r="C191" i="5"/>
  <c r="D191" i="21" s="1"/>
  <c r="D189" i="21"/>
  <c r="U202" i="13"/>
  <c r="AA89" i="13"/>
  <c r="AB89" i="13" s="1"/>
  <c r="U86" i="13"/>
  <c r="AA86" i="13" s="1"/>
  <c r="AA48" i="13"/>
  <c r="AB48" i="13" s="1"/>
  <c r="F48" i="5" s="1"/>
  <c r="AC48" i="5" s="1"/>
  <c r="U46" i="13"/>
  <c r="AA46" i="13" s="1"/>
  <c r="AA66" i="13" s="1"/>
  <c r="AA165" i="13"/>
  <c r="AB165" i="13" s="1"/>
  <c r="U164" i="13"/>
  <c r="AA164" i="13" s="1"/>
  <c r="AA166" i="13" s="1"/>
  <c r="AA145" i="13"/>
  <c r="AB145" i="13" s="1"/>
  <c r="U144" i="13"/>
  <c r="AA144" i="13" s="1"/>
  <c r="AA152" i="13" s="1"/>
  <c r="U90" i="13"/>
  <c r="AA90" i="13" s="1"/>
  <c r="P113" i="21"/>
  <c r="P114" i="21"/>
  <c r="W181" i="21"/>
  <c r="W113" i="21"/>
  <c r="W114" i="21"/>
  <c r="P203" i="21"/>
  <c r="P206" i="21"/>
  <c r="P181" i="21"/>
  <c r="I181" i="21"/>
  <c r="W203" i="21"/>
  <c r="P90" i="21"/>
  <c r="P91" i="21"/>
  <c r="P125" i="21"/>
  <c r="I129" i="21"/>
  <c r="I90" i="21"/>
  <c r="I91" i="21"/>
  <c r="P129" i="21"/>
  <c r="W200" i="21"/>
  <c r="I110" i="21"/>
  <c r="I200" i="21"/>
  <c r="W108" i="21"/>
  <c r="W110" i="21"/>
  <c r="I83" i="21"/>
  <c r="I84" i="21"/>
  <c r="P200" i="21"/>
  <c r="P108" i="21"/>
  <c r="P110" i="21"/>
  <c r="W83" i="21"/>
  <c r="W84" i="21"/>
  <c r="W163" i="21"/>
  <c r="P163" i="21"/>
  <c r="W195" i="21"/>
  <c r="P95" i="21"/>
  <c r="P96" i="21"/>
  <c r="P83" i="21"/>
  <c r="P84" i="21"/>
  <c r="P170" i="21"/>
  <c r="P174" i="21"/>
  <c r="P195" i="21"/>
  <c r="W80" i="21"/>
  <c r="W81" i="21"/>
  <c r="P77" i="21"/>
  <c r="P78" i="21"/>
  <c r="P80" i="21"/>
  <c r="P81" i="21"/>
  <c r="W125" i="21"/>
  <c r="I77" i="21"/>
  <c r="I78" i="21"/>
  <c r="I178" i="21"/>
  <c r="I80" i="21"/>
  <c r="I81" i="21"/>
  <c r="W129" i="21"/>
  <c r="W178" i="21"/>
  <c r="I170" i="21"/>
  <c r="W90" i="21"/>
  <c r="W91" i="21"/>
  <c r="I125" i="21"/>
  <c r="P178" i="21"/>
  <c r="W170" i="21"/>
  <c r="W174" i="21"/>
  <c r="I25" i="3"/>
  <c r="BR252" i="13"/>
  <c r="BD252" i="13"/>
  <c r="AQ49" i="13"/>
  <c r="BC49" i="13" s="1"/>
  <c r="AA114" i="13"/>
  <c r="AB114" i="13" s="1"/>
  <c r="AB254" i="13" s="1"/>
  <c r="AP114" i="13"/>
  <c r="AQ114" i="13"/>
  <c r="BI251" i="13"/>
  <c r="BS251" i="13"/>
  <c r="BL251" i="13"/>
  <c r="BT251" i="13"/>
  <c r="BF251" i="13"/>
  <c r="BG238" i="13"/>
  <c r="BH238" i="13" s="1"/>
  <c r="P119" i="5" s="1"/>
  <c r="BS238" i="13"/>
  <c r="BJ238" i="13"/>
  <c r="BK238" i="13" s="1"/>
  <c r="W119" i="5" s="1"/>
  <c r="BT238" i="13"/>
  <c r="BD238" i="13"/>
  <c r="BE238" i="13" s="1"/>
  <c r="I119" i="5" s="1"/>
  <c r="BR238" i="13"/>
  <c r="AA94" i="13"/>
  <c r="AB94" i="13" s="1"/>
  <c r="AB93" i="13" s="1"/>
  <c r="I22" i="3"/>
  <c r="I21" i="3"/>
  <c r="AA84" i="13"/>
  <c r="AB84" i="13" s="1"/>
  <c r="AB83" i="13" s="1"/>
  <c r="AC188" i="5"/>
  <c r="AC132" i="5"/>
  <c r="AC153" i="5"/>
  <c r="AC185" i="5"/>
  <c r="AB39" i="21"/>
  <c r="W20" i="21"/>
  <c r="AC197" i="5"/>
  <c r="AF194" i="21"/>
  <c r="AC39" i="5"/>
  <c r="F39" i="21"/>
  <c r="AF39" i="21" s="1"/>
  <c r="AC165" i="5"/>
  <c r="AF162" i="21"/>
  <c r="AC143" i="5"/>
  <c r="AC99" i="5"/>
  <c r="AC119" i="5"/>
  <c r="AB158" i="21"/>
  <c r="W77" i="21"/>
  <c r="S65" i="21"/>
  <c r="AB11" i="21"/>
  <c r="AB192" i="21"/>
  <c r="AB106" i="21"/>
  <c r="AB218" i="21"/>
  <c r="AB177" i="21"/>
  <c r="AB99" i="21"/>
  <c r="Y65" i="21"/>
  <c r="R65" i="21"/>
  <c r="AC256"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I142" i="13" s="1"/>
  <c r="AK241" i="13"/>
  <c r="AK142" i="13" s="1"/>
  <c r="AJ241" i="13"/>
  <c r="AJ142" i="13" s="1"/>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BG158" i="13" s="1"/>
  <c r="AK158" i="13"/>
  <c r="BJ158" i="13" s="1"/>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A202"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F155" i="5"/>
  <c r="BB163" i="13"/>
  <c r="F169" i="5"/>
  <c r="F108" i="5"/>
  <c r="AA203" i="13"/>
  <c r="F150" i="21"/>
  <c r="AF150" i="21" s="1"/>
  <c r="F110" i="5"/>
  <c r="AA91" i="13"/>
  <c r="AB91" i="13" s="1"/>
  <c r="AA92" i="13"/>
  <c r="AB92" i="13" s="1"/>
  <c r="F89" i="5" s="1"/>
  <c r="F189" i="5"/>
  <c r="F189" i="21" s="1"/>
  <c r="F49" i="5"/>
  <c r="F57" i="5"/>
  <c r="CG95" i="13"/>
  <c r="AA80" i="13"/>
  <c r="AB80" i="13" s="1"/>
  <c r="F60" i="5"/>
  <c r="F42" i="5"/>
  <c r="F134" i="5"/>
  <c r="AF40" i="13"/>
  <c r="F144" i="5"/>
  <c r="F144" i="21" s="1"/>
  <c r="AF144" i="21" s="1"/>
  <c r="F67" i="5"/>
  <c r="F177" i="5"/>
  <c r="F56" i="5"/>
  <c r="F167" i="5"/>
  <c r="F135" i="5"/>
  <c r="F139" i="5"/>
  <c r="AQ32" i="13"/>
  <c r="BC32" i="13" s="1"/>
  <c r="AP32" i="13"/>
  <c r="BB32" i="13" s="1"/>
  <c r="F68" i="5"/>
  <c r="F114" i="5"/>
  <c r="F140" i="5"/>
  <c r="F183" i="5"/>
  <c r="F34" i="5"/>
  <c r="BC181" i="13"/>
  <c r="AB63" i="13"/>
  <c r="BC157" i="13"/>
  <c r="F151" i="5"/>
  <c r="F85" i="5"/>
  <c r="F142" i="5"/>
  <c r="F143" i="21" s="1"/>
  <c r="AB189" i="13"/>
  <c r="F186" i="5"/>
  <c r="F186" i="21" s="1"/>
  <c r="Y219" i="13"/>
  <c r="F50" i="5"/>
  <c r="AG40" i="13"/>
  <c r="AB103" i="13"/>
  <c r="AB162" i="13"/>
  <c r="F98" i="16"/>
  <c r="I98" i="16" s="1"/>
  <c r="F213" i="5"/>
  <c r="F190" i="5"/>
  <c r="AB56" i="13"/>
  <c r="Y201" i="13"/>
  <c r="AA201" i="13" s="1"/>
  <c r="F29" i="5"/>
  <c r="F30" i="5"/>
  <c r="F12" i="5"/>
  <c r="AC12" i="5" s="1"/>
  <c r="F19" i="5"/>
  <c r="AB69" i="13"/>
  <c r="BC151" i="13"/>
  <c r="BB151" i="13"/>
  <c r="AB187" i="13"/>
  <c r="BC188" i="13"/>
  <c r="BB188" i="13"/>
  <c r="AB160" i="13"/>
  <c r="BC161" i="13"/>
  <c r="BB161" i="13"/>
  <c r="AB115" i="13"/>
  <c r="AB121" i="13"/>
  <c r="BC150" i="13"/>
  <c r="BB150" i="13"/>
  <c r="BC142" i="13"/>
  <c r="BB142" i="13"/>
  <c r="BB156" i="13"/>
  <c r="BA156" i="13"/>
  <c r="BC156" i="13"/>
  <c r="AB148" i="13"/>
  <c r="F125" i="5"/>
  <c r="AB130" i="13"/>
  <c r="F122" i="5" s="1"/>
  <c r="BC163" i="13"/>
  <c r="AB59" i="13"/>
  <c r="BC102" i="13"/>
  <c r="AB225" i="13"/>
  <c r="BB102" i="13"/>
  <c r="D104" i="16"/>
  <c r="F104" i="16" s="1"/>
  <c r="AB227" i="13"/>
  <c r="D106" i="16"/>
  <c r="F106" i="16" s="1"/>
  <c r="AB192" i="13"/>
  <c r="D86" i="16"/>
  <c r="D94" i="16"/>
  <c r="AB100" i="13"/>
  <c r="D52" i="16"/>
  <c r="D96" i="16"/>
  <c r="AB179" i="13"/>
  <c r="BC173" i="13"/>
  <c r="BB173" i="13"/>
  <c r="BA173" i="13"/>
  <c r="BS252" i="13"/>
  <c r="BT252" i="13"/>
  <c r="BE10" i="13"/>
  <c r="P11" i="5" s="1"/>
  <c r="P11" i="21" s="1"/>
  <c r="AB117" i="13"/>
  <c r="BG234" i="13"/>
  <c r="BD234" i="13"/>
  <c r="BK234" i="13"/>
  <c r="W39" i="5" s="1"/>
  <c r="W39" i="21" s="1"/>
  <c r="F204" i="5"/>
  <c r="BK246" i="13"/>
  <c r="W99" i="5" s="1"/>
  <c r="BH246" i="13"/>
  <c r="P99" i="5" s="1"/>
  <c r="BE246" i="13"/>
  <c r="I99" i="5" s="1"/>
  <c r="BE248" i="13"/>
  <c r="I188" i="5" s="1"/>
  <c r="BE247" i="13"/>
  <c r="I185" i="5" s="1"/>
  <c r="BH248" i="13"/>
  <c r="P188" i="5" s="1"/>
  <c r="BH247" i="13"/>
  <c r="P185" i="5" s="1"/>
  <c r="BK248" i="13"/>
  <c r="W188" i="5" s="1"/>
  <c r="BK247" i="13"/>
  <c r="W185" i="5" s="1"/>
  <c r="AB138" i="13"/>
  <c r="AB134" i="13"/>
  <c r="AB183" i="13"/>
  <c r="AB30" i="13"/>
  <c r="AB175" i="13"/>
  <c r="AB171" i="13"/>
  <c r="AB155" i="13"/>
  <c r="AB126" i="13"/>
  <c r="AB51" i="13"/>
  <c r="AB10" i="13"/>
  <c r="AB26" i="13"/>
  <c r="AB19" i="13"/>
  <c r="AB16" i="13"/>
  <c r="AB206" i="13"/>
  <c r="AB170" i="13"/>
  <c r="AB212" i="13"/>
  <c r="BE249" i="13"/>
  <c r="I197" i="5" s="1"/>
  <c r="BK249" i="13"/>
  <c r="W197" i="5" s="1"/>
  <c r="BH249" i="13"/>
  <c r="P197" i="5" s="1"/>
  <c r="AB41" i="13"/>
  <c r="AK41" i="13" s="1"/>
  <c r="F25" i="5"/>
  <c r="BC158" i="13"/>
  <c r="BB158" i="13"/>
  <c r="BA128" i="13"/>
  <c r="BC128" i="13"/>
  <c r="BB128" i="13"/>
  <c r="BG15" i="13"/>
  <c r="BJ15" i="13"/>
  <c r="F16" i="5"/>
  <c r="BD15" i="13"/>
  <c r="F24" i="5"/>
  <c r="AA123" i="13"/>
  <c r="F13" i="5"/>
  <c r="F21" i="5"/>
  <c r="F22" i="5"/>
  <c r="F23" i="5"/>
  <c r="F14" i="5"/>
  <c r="F28" i="5"/>
  <c r="F181" i="5"/>
  <c r="F112" i="5"/>
  <c r="F76" i="5"/>
  <c r="F96" i="5"/>
  <c r="F54" i="5"/>
  <c r="F44" i="5"/>
  <c r="D43" i="16"/>
  <c r="F152" i="5"/>
  <c r="F53" i="5"/>
  <c r="AA36" i="13"/>
  <c r="F59" i="5"/>
  <c r="F172" i="5"/>
  <c r="F172" i="21" s="1"/>
  <c r="AF172" i="21" s="1"/>
  <c r="F133" i="5"/>
  <c r="F133" i="21" s="1"/>
  <c r="F180" i="5"/>
  <c r="F168" i="5"/>
  <c r="D68" i="16"/>
  <c r="F173" i="5"/>
  <c r="F43" i="5"/>
  <c r="F45" i="5"/>
  <c r="F121" i="5"/>
  <c r="F129" i="5"/>
  <c r="D75" i="16"/>
  <c r="F191" i="5"/>
  <c r="F111" i="5"/>
  <c r="F225" i="5"/>
  <c r="F120" i="5"/>
  <c r="BE200" i="13"/>
  <c r="I195" i="5" s="1"/>
  <c r="I196" i="21" s="1"/>
  <c r="BE211" i="13"/>
  <c r="I206" i="5" s="1"/>
  <c r="I207" i="21" s="1"/>
  <c r="BE192" i="13"/>
  <c r="I187" i="5" s="1"/>
  <c r="I187" i="21" s="1"/>
  <c r="BE171" i="13"/>
  <c r="I166" i="5" s="1"/>
  <c r="BE169" i="13"/>
  <c r="I163" i="5" s="1"/>
  <c r="BE164" i="13"/>
  <c r="I158" i="5" s="1"/>
  <c r="I141" i="5"/>
  <c r="BE130" i="13"/>
  <c r="I122" i="5" s="1"/>
  <c r="BE115" i="13"/>
  <c r="I107" i="5" s="1"/>
  <c r="BE121" i="13"/>
  <c r="I113" i="5" s="1"/>
  <c r="I112" i="21" s="1"/>
  <c r="BE100" i="13"/>
  <c r="I95" i="5" s="1"/>
  <c r="F255" i="5"/>
  <c r="AC255" i="5" s="1"/>
  <c r="F246" i="5"/>
  <c r="F127" i="5"/>
  <c r="F247" i="5"/>
  <c r="AC247" i="5" s="1"/>
  <c r="F131" i="5"/>
  <c r="F248" i="5"/>
  <c r="F254" i="5"/>
  <c r="F175" i="5"/>
  <c r="F257" i="5"/>
  <c r="AC257" i="5" s="1"/>
  <c r="F179" i="5"/>
  <c r="F251" i="5"/>
  <c r="F123" i="5"/>
  <c r="F252" i="5"/>
  <c r="BD220" i="13"/>
  <c r="BJ226" i="13"/>
  <c r="BK226" i="13" s="1"/>
  <c r="W221" i="5" s="1"/>
  <c r="BG228" i="13"/>
  <c r="BH228" i="13" s="1"/>
  <c r="P223" i="5" s="1"/>
  <c r="BD223" i="13"/>
  <c r="AA110" i="13"/>
  <c r="I58" i="5"/>
  <c r="I51" i="5"/>
  <c r="I52" i="21" s="1"/>
  <c r="BD69" i="13"/>
  <c r="AB229" i="13"/>
  <c r="AB34" i="13"/>
  <c r="D102" i="16"/>
  <c r="F102" i="16" s="1"/>
  <c r="I102" i="16" s="1"/>
  <c r="AB217" i="13"/>
  <c r="F223" i="5"/>
  <c r="F221" i="5"/>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F218" i="5"/>
  <c r="F215" i="5"/>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F216" i="5"/>
  <c r="F95" i="16"/>
  <c r="I95" i="16" s="1"/>
  <c r="F20" i="16"/>
  <c r="I20" i="16" s="1"/>
  <c r="F47" i="16"/>
  <c r="I47" i="16" s="1"/>
  <c r="F219" i="5"/>
  <c r="F101" i="16"/>
  <c r="I101" i="16" s="1"/>
  <c r="F48" i="16"/>
  <c r="I48" i="16" s="1"/>
  <c r="F13" i="16"/>
  <c r="I13" i="16" s="1"/>
  <c r="F88" i="16"/>
  <c r="I88" i="16" s="1"/>
  <c r="BJ96" i="13"/>
  <c r="BK96" i="13" s="1"/>
  <c r="BG96" i="13"/>
  <c r="BH96" i="13" s="1"/>
  <c r="F39" i="16"/>
  <c r="I39" i="16" s="1"/>
  <c r="F38" i="16"/>
  <c r="I38" i="16" s="1"/>
  <c r="F99" i="16"/>
  <c r="I99" i="16" s="1"/>
  <c r="F217" i="5"/>
  <c r="F23" i="16"/>
  <c r="I23" i="16" s="1"/>
  <c r="F46" i="16"/>
  <c r="I46" i="16" s="1"/>
  <c r="BD155" i="13"/>
  <c r="BE155" i="13" s="1"/>
  <c r="F69" i="16"/>
  <c r="I69" i="16" s="1"/>
  <c r="J66" i="11" l="1"/>
  <c r="AB46" i="13"/>
  <c r="AI70" i="13"/>
  <c r="BB145" i="13"/>
  <c r="J70" i="11"/>
  <c r="F106" i="5"/>
  <c r="AC106" i="5" s="1"/>
  <c r="AJ114" i="13"/>
  <c r="BS114" i="13" s="1"/>
  <c r="AK114" i="13"/>
  <c r="BT114" i="13" s="1"/>
  <c r="AI114" i="13"/>
  <c r="BR114" i="13" s="1"/>
  <c r="AB113" i="13"/>
  <c r="AB123" i="13" s="1"/>
  <c r="BS242" i="13"/>
  <c r="BT242" i="13"/>
  <c r="BR242" i="13"/>
  <c r="BT150" i="13"/>
  <c r="M71" i="11"/>
  <c r="BR150" i="13"/>
  <c r="K71" i="11"/>
  <c r="BS150" i="13"/>
  <c r="L71" i="11"/>
  <c r="BT239" i="13"/>
  <c r="M69" i="11"/>
  <c r="AJ187" i="13"/>
  <c r="BG187" i="13" s="1"/>
  <c r="BH187" i="13" s="1"/>
  <c r="P182" i="5" s="1"/>
  <c r="P182" i="21" s="1"/>
  <c r="L81" i="11"/>
  <c r="BS151" i="13"/>
  <c r="L72" i="11"/>
  <c r="BR239" i="13"/>
  <c r="K69" i="11"/>
  <c r="AI187" i="13"/>
  <c r="BD187" i="13" s="1"/>
  <c r="BE187" i="13" s="1"/>
  <c r="I182" i="5" s="1"/>
  <c r="K81" i="11"/>
  <c r="BR151" i="13"/>
  <c r="K72" i="11"/>
  <c r="BS239" i="13"/>
  <c r="L69" i="11"/>
  <c r="AK187" i="13"/>
  <c r="BJ187" i="13" s="1"/>
  <c r="BK187" i="13" s="1"/>
  <c r="W182" i="5" s="1"/>
  <c r="W182" i="21" s="1"/>
  <c r="M81" i="11"/>
  <c r="BT151" i="13"/>
  <c r="M72" i="11"/>
  <c r="F151" i="21"/>
  <c r="F190" i="21"/>
  <c r="AF190" i="21" s="1"/>
  <c r="F191" i="21"/>
  <c r="AF191" i="21" s="1"/>
  <c r="I58" i="21"/>
  <c r="I59" i="21"/>
  <c r="W188" i="21"/>
  <c r="W189" i="21"/>
  <c r="F152" i="21"/>
  <c r="AF152" i="21" s="1"/>
  <c r="P185" i="21"/>
  <c r="P186" i="21"/>
  <c r="W185" i="21"/>
  <c r="W186" i="21"/>
  <c r="P188" i="21"/>
  <c r="P189" i="21"/>
  <c r="I185" i="21"/>
  <c r="I186" i="21"/>
  <c r="I188" i="21"/>
  <c r="I189" i="21"/>
  <c r="I159" i="21"/>
  <c r="F153" i="21"/>
  <c r="I114" i="21"/>
  <c r="AK145" i="13"/>
  <c r="AI145" i="13"/>
  <c r="AJ145" i="13"/>
  <c r="F138" i="5"/>
  <c r="AC138" i="5" s="1"/>
  <c r="AB144" i="13"/>
  <c r="I26" i="3" s="1"/>
  <c r="AB250" i="13"/>
  <c r="F137" i="5" s="1"/>
  <c r="AC137" i="5" s="1"/>
  <c r="BC114" i="13"/>
  <c r="BC145" i="13"/>
  <c r="F91" i="5"/>
  <c r="AC91" i="5" s="1"/>
  <c r="AZ145" i="13"/>
  <c r="BA145" i="13"/>
  <c r="AA77" i="13"/>
  <c r="AB77" i="13" s="1"/>
  <c r="AI77" i="13" s="1"/>
  <c r="U75" i="13"/>
  <c r="AA75" i="13" s="1"/>
  <c r="BJ23" i="13"/>
  <c r="BK23" i="13" s="1"/>
  <c r="W24" i="5" s="1"/>
  <c r="W24" i="21" s="1"/>
  <c r="BT23" i="13"/>
  <c r="BD23" i="13"/>
  <c r="BE23" i="13" s="1"/>
  <c r="BR23" i="13"/>
  <c r="BG23" i="13"/>
  <c r="BH23" i="13" s="1"/>
  <c r="P24" i="5" s="1"/>
  <c r="P24" i="21" s="1"/>
  <c r="BS23" i="13"/>
  <c r="U219" i="13"/>
  <c r="AA219" i="13" s="1"/>
  <c r="AB219" i="13" s="1"/>
  <c r="AB236" i="13"/>
  <c r="I203" i="21"/>
  <c r="I206" i="21"/>
  <c r="I113" i="21"/>
  <c r="F105" i="5"/>
  <c r="AC105" i="5" s="1"/>
  <c r="AI254" i="13"/>
  <c r="K66" i="11" s="1"/>
  <c r="AJ254" i="13"/>
  <c r="BS254" i="13" s="1"/>
  <c r="AK254" i="13"/>
  <c r="BT254" i="13" s="1"/>
  <c r="BB114" i="13"/>
  <c r="I198" i="21"/>
  <c r="W198" i="21"/>
  <c r="P198" i="21"/>
  <c r="I163" i="21"/>
  <c r="I118" i="21"/>
  <c r="I197" i="21"/>
  <c r="I108" i="21"/>
  <c r="W197" i="21"/>
  <c r="W118" i="21"/>
  <c r="P197" i="21"/>
  <c r="I195" i="21"/>
  <c r="I99" i="21"/>
  <c r="I100" i="21"/>
  <c r="P99" i="21"/>
  <c r="P100" i="21"/>
  <c r="I95" i="21"/>
  <c r="I96" i="21"/>
  <c r="W99" i="21"/>
  <c r="W100" i="21"/>
  <c r="P118" i="21"/>
  <c r="AJ94" i="13"/>
  <c r="AJ93" i="13" s="1"/>
  <c r="AK94" i="13"/>
  <c r="AK93" i="13" s="1"/>
  <c r="F81" i="5"/>
  <c r="AC81" i="5" s="1"/>
  <c r="AI94" i="13"/>
  <c r="AI93" i="13" s="1"/>
  <c r="AK84" i="13"/>
  <c r="AK83" i="13" s="1"/>
  <c r="AI84" i="13"/>
  <c r="AI83" i="13" s="1"/>
  <c r="AJ84" i="13"/>
  <c r="AJ83" i="13" s="1"/>
  <c r="BG72" i="13"/>
  <c r="BH72" i="13" s="1"/>
  <c r="P69" i="5" s="1"/>
  <c r="P69" i="21" s="1"/>
  <c r="BS72" i="13"/>
  <c r="BJ72" i="13"/>
  <c r="BK72" i="13" s="1"/>
  <c r="W69" i="5" s="1"/>
  <c r="W69" i="21" s="1"/>
  <c r="BT72" i="13"/>
  <c r="BD72" i="13"/>
  <c r="BE72" i="13" s="1"/>
  <c r="I69" i="5" s="1"/>
  <c r="I69" i="21" s="1"/>
  <c r="BR72" i="13"/>
  <c r="F12" i="21"/>
  <c r="AF12" i="21" s="1"/>
  <c r="AC85" i="5"/>
  <c r="AC68" i="5"/>
  <c r="F68" i="21"/>
  <c r="AF68" i="21" s="1"/>
  <c r="AC167" i="5"/>
  <c r="AC57" i="5"/>
  <c r="F57" i="21"/>
  <c r="AF57" i="21" s="1"/>
  <c r="AC173" i="5"/>
  <c r="F169" i="21"/>
  <c r="AF169" i="21" s="1"/>
  <c r="AC54" i="5"/>
  <c r="F54" i="21"/>
  <c r="AF54" i="21" s="1"/>
  <c r="AC24" i="5"/>
  <c r="F24" i="21"/>
  <c r="AF24" i="21" s="1"/>
  <c r="AC190" i="5"/>
  <c r="AC151" i="5"/>
  <c r="AC56" i="5"/>
  <c r="AC49" i="5"/>
  <c r="F49" i="21"/>
  <c r="AF49" i="21" s="1"/>
  <c r="AC44" i="5"/>
  <c r="F44" i="21"/>
  <c r="AF44" i="21" s="1"/>
  <c r="AC120" i="5"/>
  <c r="AC168" i="5"/>
  <c r="AC96" i="5"/>
  <c r="AC213" i="5"/>
  <c r="AC177" i="5"/>
  <c r="AC189" i="5"/>
  <c r="AF186" i="21"/>
  <c r="AC123" i="5"/>
  <c r="AC76" i="5"/>
  <c r="AC16" i="5"/>
  <c r="F16" i="21"/>
  <c r="AF16" i="21" s="1"/>
  <c r="AC67" i="5"/>
  <c r="AC89" i="5"/>
  <c r="AC131" i="5"/>
  <c r="AC127" i="5"/>
  <c r="AC225" i="5"/>
  <c r="AC180" i="5"/>
  <c r="AC112" i="5"/>
  <c r="F111" i="21"/>
  <c r="AF111" i="21" s="1"/>
  <c r="AC144" i="5"/>
  <c r="I51" i="21"/>
  <c r="AC179" i="5"/>
  <c r="AC111" i="5"/>
  <c r="AC133" i="5"/>
  <c r="F132" i="21"/>
  <c r="AF132" i="21" s="1"/>
  <c r="AC181" i="5"/>
  <c r="AC110" i="5"/>
  <c r="AC191" i="5"/>
  <c r="AC172" i="5"/>
  <c r="F168" i="21"/>
  <c r="AF168" i="21" s="1"/>
  <c r="AC28" i="5"/>
  <c r="F28" i="21"/>
  <c r="AF28" i="21" s="1"/>
  <c r="AC125" i="5"/>
  <c r="AC134" i="5"/>
  <c r="AF133" i="21"/>
  <c r="AC150" i="5"/>
  <c r="AF147" i="21"/>
  <c r="AC215" i="5"/>
  <c r="AC219" i="5"/>
  <c r="F216" i="21"/>
  <c r="AF216" i="21" s="1"/>
  <c r="AC218" i="5"/>
  <c r="AC175" i="5"/>
  <c r="AC59" i="5"/>
  <c r="AC14" i="5"/>
  <c r="F14" i="21"/>
  <c r="AF14" i="21" s="1"/>
  <c r="AC19" i="5"/>
  <c r="F19" i="21"/>
  <c r="AF19" i="21" s="1"/>
  <c r="AC50" i="5"/>
  <c r="F50" i="21"/>
  <c r="AF50" i="21" s="1"/>
  <c r="AC34" i="5"/>
  <c r="F34" i="21"/>
  <c r="AF34" i="21" s="1"/>
  <c r="AC139" i="5"/>
  <c r="AC42" i="5"/>
  <c r="AC129" i="5"/>
  <c r="AC23" i="5"/>
  <c r="F23" i="21"/>
  <c r="AF23" i="21" s="1"/>
  <c r="AC204" i="5"/>
  <c r="AC135" i="5"/>
  <c r="F134" i="21"/>
  <c r="AF134" i="21" s="1"/>
  <c r="AC60" i="5"/>
  <c r="F60" i="21"/>
  <c r="AF60" i="21" s="1"/>
  <c r="AC108" i="5"/>
  <c r="AC221" i="5"/>
  <c r="F218" i="21"/>
  <c r="AF218" i="21" s="1"/>
  <c r="AC121" i="5"/>
  <c r="F120" i="21"/>
  <c r="AF120" i="21" s="1"/>
  <c r="AC53" i="5"/>
  <c r="AC22" i="5"/>
  <c r="F22" i="21"/>
  <c r="AF22" i="21" s="1"/>
  <c r="AC30" i="5"/>
  <c r="F30" i="21"/>
  <c r="AF30" i="21" s="1"/>
  <c r="AC186" i="5"/>
  <c r="AC183" i="5"/>
  <c r="F180" i="21"/>
  <c r="AF180" i="21" s="1"/>
  <c r="AC169" i="5"/>
  <c r="AC45" i="5"/>
  <c r="F45" i="21"/>
  <c r="AF45" i="21" s="1"/>
  <c r="AC152" i="5"/>
  <c r="AC21" i="5"/>
  <c r="F21" i="21"/>
  <c r="AF21" i="21" s="1"/>
  <c r="AC29" i="5"/>
  <c r="F29" i="21"/>
  <c r="AF29" i="21" s="1"/>
  <c r="AC140" i="5"/>
  <c r="AC223" i="5"/>
  <c r="AC43" i="5"/>
  <c r="F43" i="21"/>
  <c r="AF43" i="21" s="1"/>
  <c r="AC13" i="5"/>
  <c r="F13" i="21"/>
  <c r="AF13" i="21" s="1"/>
  <c r="AC25" i="5"/>
  <c r="F25" i="21"/>
  <c r="AF25" i="21" s="1"/>
  <c r="AC142" i="5"/>
  <c r="F140" i="21"/>
  <c r="AF140" i="21" s="1"/>
  <c r="AC114" i="5"/>
  <c r="AC155" i="5"/>
  <c r="AB219" i="21"/>
  <c r="AI41" i="13"/>
  <c r="AJ205" i="13"/>
  <c r="AI205" i="13"/>
  <c r="AK205" i="13"/>
  <c r="AI89" i="13"/>
  <c r="AK89" i="13"/>
  <c r="AJ89" i="13"/>
  <c r="AJ140" i="13"/>
  <c r="AJ143" i="13"/>
  <c r="BG142" i="13"/>
  <c r="BH142" i="13" s="1"/>
  <c r="P134" i="5" s="1"/>
  <c r="P134" i="21" s="1"/>
  <c r="AJ141" i="13"/>
  <c r="AK140" i="13"/>
  <c r="AK143" i="13"/>
  <c r="BJ142" i="13"/>
  <c r="BK142" i="13" s="1"/>
  <c r="W134" i="5" s="1"/>
  <c r="W134" i="21" s="1"/>
  <c r="AK141" i="13"/>
  <c r="AK225" i="13"/>
  <c r="BT225" i="13" s="1"/>
  <c r="AJ225" i="13"/>
  <c r="BS225" i="13" s="1"/>
  <c r="AI225" i="13"/>
  <c r="BR225" i="13" s="1"/>
  <c r="AI141" i="13"/>
  <c r="AI140" i="13"/>
  <c r="AI143" i="13"/>
  <c r="BD142" i="13"/>
  <c r="BE142" i="13" s="1"/>
  <c r="I134" i="5" s="1"/>
  <c r="I134" i="21"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I259" i="5"/>
  <c r="BK310" i="13"/>
  <c r="F64" i="16"/>
  <c r="I64" i="16" s="1"/>
  <c r="F98" i="5"/>
  <c r="F99" i="21" s="1"/>
  <c r="AF99" i="21" s="1"/>
  <c r="F61" i="5"/>
  <c r="F86" i="5"/>
  <c r="F81" i="16"/>
  <c r="I81" i="16" s="1"/>
  <c r="K22" i="3"/>
  <c r="F21" i="16"/>
  <c r="I21" i="16" s="1"/>
  <c r="F159" i="5"/>
  <c r="F82" i="16"/>
  <c r="I82" i="16" s="1"/>
  <c r="F80" i="16"/>
  <c r="I80" i="16" s="1"/>
  <c r="F156" i="5"/>
  <c r="F156" i="21" s="1"/>
  <c r="AM91" i="13"/>
  <c r="AY91" i="13" s="1"/>
  <c r="AB90" i="13"/>
  <c r="K21" i="3"/>
  <c r="BI310" i="13"/>
  <c r="BK303" i="13"/>
  <c r="BT299" i="13" s="1"/>
  <c r="BJ310" i="13"/>
  <c r="F32" i="5"/>
  <c r="F44" i="16"/>
  <c r="I44" i="16" s="1"/>
  <c r="F24" i="16"/>
  <c r="I24" i="16" s="1"/>
  <c r="AI189" i="13"/>
  <c r="AK189" i="13"/>
  <c r="AJ189" i="13"/>
  <c r="F62" i="5"/>
  <c r="AK63" i="13"/>
  <c r="AJ63" i="13"/>
  <c r="AI63" i="13"/>
  <c r="F88" i="5"/>
  <c r="F89" i="21" s="1"/>
  <c r="AF89" i="21" s="1"/>
  <c r="F33" i="5"/>
  <c r="BJ32" i="13"/>
  <c r="BG32" i="13"/>
  <c r="BD32" i="13"/>
  <c r="F26" i="5"/>
  <c r="BJ25" i="13"/>
  <c r="BG25" i="13"/>
  <c r="BD25" i="13"/>
  <c r="AJ192" i="13"/>
  <c r="F124" i="5"/>
  <c r="F124" i="21" s="1"/>
  <c r="AF124" i="21" s="1"/>
  <c r="AK130" i="13"/>
  <c r="AJ130" i="13"/>
  <c r="BT149" i="13"/>
  <c r="BS149" i="13"/>
  <c r="BR149" i="13"/>
  <c r="F74" i="5"/>
  <c r="F72" i="5"/>
  <c r="BJ11" i="13"/>
  <c r="BK11" i="13" s="1"/>
  <c r="W12" i="5" s="1"/>
  <c r="W12" i="21" s="1"/>
  <c r="BG11" i="13"/>
  <c r="BH11" i="13" s="1"/>
  <c r="P12" i="5" s="1"/>
  <c r="P12" i="21" s="1"/>
  <c r="F84" i="5"/>
  <c r="F85" i="21" s="1"/>
  <c r="AF85" i="21" s="1"/>
  <c r="F128" i="5"/>
  <c r="F128" i="21" s="1"/>
  <c r="AF128" i="21" s="1"/>
  <c r="AI134" i="13"/>
  <c r="AK134" i="13"/>
  <c r="AJ134" i="13"/>
  <c r="F52" i="5"/>
  <c r="F53" i="21" s="1"/>
  <c r="AF53" i="21" s="1"/>
  <c r="F18" i="5"/>
  <c r="AI16" i="13"/>
  <c r="BJ157" i="13"/>
  <c r="BK157" i="13" s="1"/>
  <c r="W151" i="5" s="1"/>
  <c r="BG157" i="13"/>
  <c r="BH157" i="13" s="1"/>
  <c r="P151" i="5" s="1"/>
  <c r="BD157" i="13"/>
  <c r="BE157" i="13" s="1"/>
  <c r="I151" i="5" s="1"/>
  <c r="AK56" i="13"/>
  <c r="AJ56" i="13"/>
  <c r="AI56" i="13"/>
  <c r="F15" i="5"/>
  <c r="BJ29" i="13"/>
  <c r="BK29" i="13" s="1"/>
  <c r="W30" i="5" s="1"/>
  <c r="W30" i="21" s="1"/>
  <c r="BG29" i="13"/>
  <c r="BD29" i="13"/>
  <c r="BE29" i="13" s="1"/>
  <c r="I30" i="5" s="1"/>
  <c r="I30" i="21" s="1"/>
  <c r="F97" i="5"/>
  <c r="BD102" i="13"/>
  <c r="BE102" i="13" s="1"/>
  <c r="I97" i="5" s="1"/>
  <c r="BJ102" i="13"/>
  <c r="BK102" i="13" s="1"/>
  <c r="W97" i="5" s="1"/>
  <c r="BG102" i="13"/>
  <c r="BH102" i="13" s="1"/>
  <c r="P97" i="5" s="1"/>
  <c r="F69" i="5"/>
  <c r="F176" i="5"/>
  <c r="F176" i="21" s="1"/>
  <c r="AF176" i="21" s="1"/>
  <c r="F157" i="5"/>
  <c r="AK162" i="13"/>
  <c r="AJ162" i="13"/>
  <c r="AI162" i="13"/>
  <c r="F71" i="5"/>
  <c r="F71" i="21" s="1"/>
  <c r="BD73" i="13"/>
  <c r="BT73" i="13"/>
  <c r="BG73" i="13"/>
  <c r="F100" i="5"/>
  <c r="AK103" i="13"/>
  <c r="AJ103" i="13"/>
  <c r="AI103" i="13"/>
  <c r="F82" i="5"/>
  <c r="BE234" i="13"/>
  <c r="I39" i="5" s="1"/>
  <c r="I39" i="21" s="1"/>
  <c r="BH234" i="13"/>
  <c r="P39" i="5" s="1"/>
  <c r="P39" i="21" s="1"/>
  <c r="BK252" i="13"/>
  <c r="W165" i="5" s="1"/>
  <c r="BH252" i="13"/>
  <c r="P165" i="5" s="1"/>
  <c r="F107" i="5"/>
  <c r="F107" i="21" s="1"/>
  <c r="AF107" i="21" s="1"/>
  <c r="BE252" i="13"/>
  <c r="I165" i="5" s="1"/>
  <c r="F53" i="16"/>
  <c r="I53" i="16" s="1"/>
  <c r="BJ163" i="13"/>
  <c r="BK163" i="13" s="1"/>
  <c r="W157" i="5" s="1"/>
  <c r="BG151" i="13"/>
  <c r="BH151" i="13" s="1"/>
  <c r="P144" i="5" s="1"/>
  <c r="F174" i="5"/>
  <c r="F174" i="21" s="1"/>
  <c r="AF174" i="21" s="1"/>
  <c r="F66" i="5"/>
  <c r="F67" i="21" s="1"/>
  <c r="AF67" i="21" s="1"/>
  <c r="F29" i="16"/>
  <c r="I29" i="16" s="1"/>
  <c r="F78" i="16"/>
  <c r="I78" i="16" s="1"/>
  <c r="F58" i="5"/>
  <c r="F59" i="21" s="1"/>
  <c r="AF59" i="21" s="1"/>
  <c r="F22" i="16"/>
  <c r="I22" i="16" s="1"/>
  <c r="BJ150" i="13"/>
  <c r="BK150" i="13" s="1"/>
  <c r="W143" i="5" s="1"/>
  <c r="BD150" i="13"/>
  <c r="BE150" i="13" s="1"/>
  <c r="I143" i="5" s="1"/>
  <c r="BD151" i="13"/>
  <c r="BE151" i="13" s="1"/>
  <c r="I144" i="5" s="1"/>
  <c r="BD163" i="13"/>
  <c r="F126" i="5"/>
  <c r="F126" i="21" s="1"/>
  <c r="AF126" i="21" s="1"/>
  <c r="F122" i="21"/>
  <c r="AF122" i="21" s="1"/>
  <c r="F41" i="5"/>
  <c r="F42" i="21" s="1"/>
  <c r="AF42" i="21" s="1"/>
  <c r="F130" i="5"/>
  <c r="F131" i="21" s="1"/>
  <c r="AF131" i="21" s="1"/>
  <c r="F222" i="5"/>
  <c r="F222" i="21" s="1"/>
  <c r="AF222" i="21" s="1"/>
  <c r="F182" i="5"/>
  <c r="F182" i="21" s="1"/>
  <c r="AF182" i="21" s="1"/>
  <c r="F184" i="5"/>
  <c r="F185" i="21" s="1"/>
  <c r="F19" i="16"/>
  <c r="I19" i="16" s="1"/>
  <c r="F51" i="5"/>
  <c r="F55" i="5"/>
  <c r="F56" i="21" s="1"/>
  <c r="AF56" i="21" s="1"/>
  <c r="F76" i="16"/>
  <c r="I76" i="16" s="1"/>
  <c r="F166" i="5"/>
  <c r="F166" i="21" s="1"/>
  <c r="AF166" i="21" s="1"/>
  <c r="F109" i="5"/>
  <c r="F110" i="21" s="1"/>
  <c r="AF110" i="21" s="1"/>
  <c r="F187" i="5"/>
  <c r="F188" i="21" s="1"/>
  <c r="F170" i="5"/>
  <c r="F171" i="21" s="1"/>
  <c r="AF171" i="21" s="1"/>
  <c r="F141" i="5"/>
  <c r="F141" i="21" s="1"/>
  <c r="AF141" i="21" s="1"/>
  <c r="BT188" i="13"/>
  <c r="F12" i="16"/>
  <c r="I12" i="16" s="1"/>
  <c r="BR188" i="13"/>
  <c r="F54" i="16"/>
  <c r="I54" i="16" s="1"/>
  <c r="AI130" i="13"/>
  <c r="BJ156" i="13"/>
  <c r="BK156" i="13" s="1"/>
  <c r="F9" i="16"/>
  <c r="I9" i="16" s="1"/>
  <c r="F20" i="5"/>
  <c r="F11" i="5"/>
  <c r="AC11" i="5" s="1"/>
  <c r="AC245" i="5" s="1"/>
  <c r="BG150" i="13"/>
  <c r="BH150" i="13" s="1"/>
  <c r="P143" i="5" s="1"/>
  <c r="BD156" i="13"/>
  <c r="BE156" i="13" s="1"/>
  <c r="F17" i="5"/>
  <c r="BJ151" i="13"/>
  <c r="F11" i="16"/>
  <c r="I11" i="16" s="1"/>
  <c r="F31" i="5"/>
  <c r="I11" i="5"/>
  <c r="BD161" i="13"/>
  <c r="BE161" i="13" s="1"/>
  <c r="I155" i="5" s="1"/>
  <c r="BD188" i="13"/>
  <c r="BE188" i="13" s="1"/>
  <c r="I183" i="5" s="1"/>
  <c r="I184" i="21" s="1"/>
  <c r="AB86" i="13"/>
  <c r="AB164" i="13"/>
  <c r="F220" i="5"/>
  <c r="F220" i="21" s="1"/>
  <c r="AF220" i="21" s="1"/>
  <c r="F60" i="16"/>
  <c r="I60" i="16" s="1"/>
  <c r="BJ188" i="13"/>
  <c r="BK188" i="13" s="1"/>
  <c r="W183" i="5" s="1"/>
  <c r="W184" i="21" s="1"/>
  <c r="BG188" i="13"/>
  <c r="BH188" i="13" s="1"/>
  <c r="P183" i="5" s="1"/>
  <c r="P184" i="21" s="1"/>
  <c r="BJ161" i="13"/>
  <c r="BK161" i="13" s="1"/>
  <c r="W155" i="5" s="1"/>
  <c r="BG161" i="13"/>
  <c r="BH161" i="13" s="1"/>
  <c r="P155" i="5" s="1"/>
  <c r="AI59" i="13"/>
  <c r="BS188" i="13"/>
  <c r="BG156" i="13"/>
  <c r="BT158" i="13"/>
  <c r="BS158" i="13"/>
  <c r="I258" i="5" a="1"/>
  <c r="I258" i="5" s="1"/>
  <c r="BR158" i="13"/>
  <c r="BJ22" i="13"/>
  <c r="BT22" i="13"/>
  <c r="BG22" i="13"/>
  <c r="BS22" i="13"/>
  <c r="BJ12" i="13"/>
  <c r="BT12" i="13"/>
  <c r="BD12" i="13"/>
  <c r="BR12" i="13"/>
  <c r="BG12" i="13"/>
  <c r="BS12" i="13"/>
  <c r="BG239" i="13"/>
  <c r="BH239" i="13" s="1"/>
  <c r="P123" i="5" s="1"/>
  <c r="P123" i="21" s="1"/>
  <c r="BD239" i="13"/>
  <c r="BE239" i="13" s="1"/>
  <c r="I123" i="5" s="1"/>
  <c r="I123" i="21" s="1"/>
  <c r="BJ239" i="13"/>
  <c r="BK239" i="13" s="1"/>
  <c r="W123" i="5" s="1"/>
  <c r="W123" i="21" s="1"/>
  <c r="BD22" i="13"/>
  <c r="BR22" i="13"/>
  <c r="F61" i="16"/>
  <c r="I61" i="16" s="1"/>
  <c r="AB210" i="13"/>
  <c r="Z204" i="13"/>
  <c r="AA81" i="13"/>
  <c r="AB81" i="13" s="1"/>
  <c r="F77" i="16"/>
  <c r="AI192" i="13"/>
  <c r="AK192" i="13"/>
  <c r="I245" i="5"/>
  <c r="BE240" i="13"/>
  <c r="I246" i="5" s="1"/>
  <c r="BH240" i="13"/>
  <c r="P127" i="5" s="1"/>
  <c r="P127" i="21" s="1"/>
  <c r="BK240" i="13"/>
  <c r="W127" i="5" s="1"/>
  <c r="W127" i="21" s="1"/>
  <c r="F62" i="16"/>
  <c r="I62" i="16" s="1"/>
  <c r="BE245" i="13"/>
  <c r="I179" i="5" s="1"/>
  <c r="BE244" i="13"/>
  <c r="BE243" i="13"/>
  <c r="BE242" i="13"/>
  <c r="I167" i="5" s="1"/>
  <c r="BH245" i="13"/>
  <c r="P179" i="5" s="1"/>
  <c r="BH244" i="13"/>
  <c r="P175" i="5" s="1"/>
  <c r="BH242" i="13"/>
  <c r="P167" i="5" s="1"/>
  <c r="BK245" i="13"/>
  <c r="W179" i="5" s="1"/>
  <c r="BK244" i="13"/>
  <c r="W175" i="5" s="1"/>
  <c r="BK242" i="13"/>
  <c r="W167" i="5" s="1"/>
  <c r="BK241" i="13"/>
  <c r="W131" i="5" s="1"/>
  <c r="W131" i="21" s="1"/>
  <c r="BH241" i="13"/>
  <c r="P131" i="5" s="1"/>
  <c r="P131" i="21" s="1"/>
  <c r="BE241" i="13"/>
  <c r="I131" i="5" s="1"/>
  <c r="I131" i="21" s="1"/>
  <c r="BK237" i="13"/>
  <c r="W56" i="5" s="1"/>
  <c r="BH237" i="13"/>
  <c r="P56" i="5" s="1"/>
  <c r="BE237" i="13"/>
  <c r="I56" i="5" s="1"/>
  <c r="AB204" i="13"/>
  <c r="F164" i="5"/>
  <c r="AB169" i="13"/>
  <c r="F8" i="16"/>
  <c r="I8" i="16" s="1"/>
  <c r="AB39" i="13"/>
  <c r="F201" i="5"/>
  <c r="F202" i="5"/>
  <c r="BH15" i="13"/>
  <c r="BH27" i="13"/>
  <c r="P28" i="5" s="1"/>
  <c r="P28" i="21" s="1"/>
  <c r="BK27" i="13"/>
  <c r="W28" i="5" s="1"/>
  <c r="W28" i="21" s="1"/>
  <c r="BE27" i="13"/>
  <c r="I28" i="5" s="1"/>
  <c r="I28" i="21" s="1"/>
  <c r="BK15" i="13"/>
  <c r="W16" i="5" s="1"/>
  <c r="F207" i="5"/>
  <c r="AB201" i="13"/>
  <c r="F78" i="5"/>
  <c r="BD128" i="13"/>
  <c r="BG128" i="13"/>
  <c r="BJ128" i="13"/>
  <c r="BE15" i="13"/>
  <c r="I16" i="5" s="1"/>
  <c r="I16" i="21" s="1"/>
  <c r="AI19" i="13"/>
  <c r="AI155" i="13"/>
  <c r="AK155" i="13"/>
  <c r="AJ19" i="13"/>
  <c r="AI117" i="13"/>
  <c r="F7" i="16"/>
  <c r="I7" i="16" s="1"/>
  <c r="AB36" i="13"/>
  <c r="C36" i="11" s="1"/>
  <c r="AI126" i="13"/>
  <c r="F10" i="16"/>
  <c r="I10" i="16" s="1"/>
  <c r="AA197" i="13"/>
  <c r="AA214" i="13"/>
  <c r="AK117" i="13"/>
  <c r="AJ126" i="13"/>
  <c r="AJ117" i="13"/>
  <c r="AK126" i="13"/>
  <c r="BE223" i="13"/>
  <c r="I218" i="5" s="1"/>
  <c r="BE220" i="13"/>
  <c r="I215" i="5" s="1"/>
  <c r="BE69" i="13"/>
  <c r="I66" i="5" s="1"/>
  <c r="BG222" i="13"/>
  <c r="BH222" i="13" s="1"/>
  <c r="P217" i="5" s="1"/>
  <c r="BD221" i="13"/>
  <c r="BG220" i="13"/>
  <c r="BH220" i="13" s="1"/>
  <c r="P215" i="5" s="1"/>
  <c r="BG226" i="13"/>
  <c r="BH226" i="13" s="1"/>
  <c r="P221" i="5" s="1"/>
  <c r="BD226" i="13"/>
  <c r="BJ222" i="13"/>
  <c r="BK222" i="13" s="1"/>
  <c r="W217" i="5" s="1"/>
  <c r="BG218" i="13"/>
  <c r="BH218" i="13" s="1"/>
  <c r="P213" i="5" s="1"/>
  <c r="BJ229" i="13"/>
  <c r="BK229" i="13" s="1"/>
  <c r="W224" i="5" s="1"/>
  <c r="BJ218" i="13"/>
  <c r="BK218" i="13" s="1"/>
  <c r="W213" i="5" s="1"/>
  <c r="BJ223" i="13"/>
  <c r="BK223" i="13" s="1"/>
  <c r="W218" i="5" s="1"/>
  <c r="BG221" i="13"/>
  <c r="BH221" i="13" s="1"/>
  <c r="P216" i="5" s="1"/>
  <c r="BJ221" i="13"/>
  <c r="BK221" i="13" s="1"/>
  <c r="W216" i="5" s="1"/>
  <c r="BD218" i="13"/>
  <c r="BD225" i="13"/>
  <c r="BD224" i="13"/>
  <c r="BJ220" i="13"/>
  <c r="BK220" i="13" s="1"/>
  <c r="W215" i="5" s="1"/>
  <c r="BG223" i="13"/>
  <c r="BH223" i="13" s="1"/>
  <c r="P218" i="5" s="1"/>
  <c r="BJ228" i="13"/>
  <c r="BK228" i="13" s="1"/>
  <c r="W223" i="5" s="1"/>
  <c r="BD228" i="13"/>
  <c r="BJ224" i="13"/>
  <c r="BK224" i="13" s="1"/>
  <c r="W219" i="5" s="1"/>
  <c r="BJ225" i="13"/>
  <c r="BK225" i="13" s="1"/>
  <c r="W220" i="5" s="1"/>
  <c r="BG224" i="13"/>
  <c r="BH224" i="13" s="1"/>
  <c r="P219" i="5" s="1"/>
  <c r="BG225" i="13"/>
  <c r="BH225" i="13" s="1"/>
  <c r="P220" i="5" s="1"/>
  <c r="BD222" i="13"/>
  <c r="F224" i="5"/>
  <c r="F224" i="21" s="1"/>
  <c r="AC216" i="5"/>
  <c r="AC217" i="5"/>
  <c r="F118" i="5"/>
  <c r="F178" i="5"/>
  <c r="F178" i="21" s="1"/>
  <c r="AF178" i="21" s="1"/>
  <c r="BJ75" i="13"/>
  <c r="BK75" i="13" s="1"/>
  <c r="W73" i="5" s="1"/>
  <c r="BG75" i="13"/>
  <c r="BH75" i="13" s="1"/>
  <c r="P73" i="5" s="1"/>
  <c r="BD75" i="13"/>
  <c r="BE75" i="13" s="1"/>
  <c r="BJ46" i="13"/>
  <c r="BK46" i="13" s="1"/>
  <c r="W46" i="5" s="1"/>
  <c r="W46" i="21" s="1"/>
  <c r="BD46" i="13"/>
  <c r="BD113" i="13"/>
  <c r="BJ113" i="13"/>
  <c r="BG113" i="13"/>
  <c r="BJ69" i="13"/>
  <c r="BK69" i="13" s="1"/>
  <c r="W66" i="5" s="1"/>
  <c r="BG69" i="13"/>
  <c r="BH69" i="13" s="1"/>
  <c r="P66" i="5" s="1"/>
  <c r="F27" i="5"/>
  <c r="I31" i="5"/>
  <c r="I20" i="5"/>
  <c r="I20" i="21" s="1"/>
  <c r="F79" i="16"/>
  <c r="I79" i="16" s="1"/>
  <c r="F59" i="16"/>
  <c r="I59" i="16" s="1"/>
  <c r="BD65" i="13"/>
  <c r="BD96" i="13"/>
  <c r="BE96" i="13" s="1"/>
  <c r="BG46" i="13"/>
  <c r="BH46" i="13" s="1"/>
  <c r="P46" i="5" s="1"/>
  <c r="P46" i="21" s="1"/>
  <c r="F212" i="5"/>
  <c r="F212" i="21" s="1"/>
  <c r="AF212" i="21" s="1"/>
  <c r="F94" i="16"/>
  <c r="I148" i="5"/>
  <c r="L66" i="11" l="1"/>
  <c r="M66" i="11"/>
  <c r="BT257" i="13"/>
  <c r="F104" i="5"/>
  <c r="F52" i="16"/>
  <c r="I52" i="16" s="1"/>
  <c r="F138" i="21"/>
  <c r="AF138" i="21" s="1"/>
  <c r="F136" i="5"/>
  <c r="AC136" i="5" s="1"/>
  <c r="F63" i="16"/>
  <c r="I63" i="16" s="1"/>
  <c r="AB152" i="13"/>
  <c r="BR254" i="13"/>
  <c r="I252" i="5"/>
  <c r="I171" i="5"/>
  <c r="I254" i="5"/>
  <c r="I175" i="5"/>
  <c r="F137" i="21"/>
  <c r="AF137" i="21" s="1"/>
  <c r="AI250" i="13"/>
  <c r="BR250" i="13" s="1"/>
  <c r="AJ250" i="13"/>
  <c r="AK250" i="13"/>
  <c r="BT174" i="13"/>
  <c r="BS174" i="13"/>
  <c r="BR174" i="13"/>
  <c r="I151" i="21"/>
  <c r="I149" i="5"/>
  <c r="W151" i="21"/>
  <c r="W149" i="5"/>
  <c r="AK144" i="13"/>
  <c r="AJ144" i="13"/>
  <c r="AI144" i="13"/>
  <c r="F225" i="21"/>
  <c r="I66" i="21"/>
  <c r="I67" i="21"/>
  <c r="F223" i="21"/>
  <c r="I56" i="21"/>
  <c r="I57" i="21"/>
  <c r="W224" i="21"/>
  <c r="W225" i="21"/>
  <c r="P56" i="21"/>
  <c r="P57" i="21"/>
  <c r="W56" i="21"/>
  <c r="W57" i="21"/>
  <c r="F157" i="21"/>
  <c r="I156" i="21"/>
  <c r="W157" i="21"/>
  <c r="W158" i="21"/>
  <c r="W66" i="21"/>
  <c r="W67" i="21"/>
  <c r="P66" i="21"/>
  <c r="P67" i="21"/>
  <c r="P155" i="21"/>
  <c r="P156" i="21"/>
  <c r="W155" i="21"/>
  <c r="W156" i="21"/>
  <c r="BK298" i="13"/>
  <c r="F75" i="5"/>
  <c r="F76" i="21" s="1"/>
  <c r="AF76" i="21" s="1"/>
  <c r="AB75" i="13"/>
  <c r="AJ77" i="13"/>
  <c r="AJ75" i="13" s="1"/>
  <c r="AK77" i="13"/>
  <c r="AK75" i="13" s="1"/>
  <c r="BJ298" i="13"/>
  <c r="BI298" i="13"/>
  <c r="AB231" i="13"/>
  <c r="AD223" i="13" s="1"/>
  <c r="F214" i="5"/>
  <c r="F214" i="21" s="1"/>
  <c r="AF214" i="21" s="1"/>
  <c r="F105" i="21"/>
  <c r="AF105" i="21" s="1"/>
  <c r="AI236" i="13"/>
  <c r="AI50" i="13" s="1"/>
  <c r="AK236" i="13"/>
  <c r="F236" i="5"/>
  <c r="AJ236" i="13"/>
  <c r="F47" i="5"/>
  <c r="F48" i="21" s="1"/>
  <c r="AF48" i="21" s="1"/>
  <c r="F109" i="21"/>
  <c r="AF109" i="21" s="1"/>
  <c r="AF185" i="21"/>
  <c r="F184" i="21"/>
  <c r="AF184" i="21" s="1"/>
  <c r="F130" i="21"/>
  <c r="AF130" i="21" s="1"/>
  <c r="F187" i="21"/>
  <c r="AF187" i="21" s="1"/>
  <c r="F119" i="21"/>
  <c r="AF119" i="21" s="1"/>
  <c r="F118" i="21"/>
  <c r="AF118" i="21" s="1"/>
  <c r="P142" i="21"/>
  <c r="P144" i="21"/>
  <c r="I142" i="21"/>
  <c r="I144" i="21"/>
  <c r="I141" i="21"/>
  <c r="I143" i="21"/>
  <c r="W141" i="21"/>
  <c r="W143" i="21"/>
  <c r="P141" i="21"/>
  <c r="P143" i="21"/>
  <c r="F183" i="21"/>
  <c r="AF183" i="21" s="1"/>
  <c r="F215" i="21"/>
  <c r="AF215" i="21" s="1"/>
  <c r="F213" i="21"/>
  <c r="AF213" i="21" s="1"/>
  <c r="F142" i="21"/>
  <c r="AF142" i="21" s="1"/>
  <c r="AF188" i="21"/>
  <c r="F165" i="21"/>
  <c r="AF165" i="21" s="1"/>
  <c r="F177" i="21"/>
  <c r="AF177" i="21" s="1"/>
  <c r="P166" i="21"/>
  <c r="W166" i="21"/>
  <c r="W221" i="21"/>
  <c r="P220" i="21"/>
  <c r="W218" i="21"/>
  <c r="I166" i="21"/>
  <c r="I179" i="21"/>
  <c r="W216" i="21"/>
  <c r="I148" i="21"/>
  <c r="W217" i="21"/>
  <c r="I133" i="21"/>
  <c r="I135" i="21"/>
  <c r="P133" i="21"/>
  <c r="P135" i="21"/>
  <c r="I164" i="21"/>
  <c r="I167" i="21"/>
  <c r="P97" i="21"/>
  <c r="P98" i="21"/>
  <c r="W97" i="21"/>
  <c r="W98" i="21"/>
  <c r="I130" i="21"/>
  <c r="I132" i="21"/>
  <c r="I97" i="21"/>
  <c r="I98" i="21"/>
  <c r="W220" i="21"/>
  <c r="P218" i="21"/>
  <c r="P130" i="21"/>
  <c r="P132" i="21"/>
  <c r="I180" i="21"/>
  <c r="I183" i="21"/>
  <c r="P73" i="21"/>
  <c r="P74" i="21"/>
  <c r="W130" i="21"/>
  <c r="W132" i="21"/>
  <c r="W73" i="21"/>
  <c r="W74" i="21"/>
  <c r="W164" i="21"/>
  <c r="W167" i="21"/>
  <c r="W126" i="21"/>
  <c r="W128" i="21"/>
  <c r="P136" i="21"/>
  <c r="I182" i="21"/>
  <c r="W180" i="21"/>
  <c r="W183" i="21"/>
  <c r="P179" i="21"/>
  <c r="P126" i="21"/>
  <c r="P128" i="21"/>
  <c r="I122" i="21"/>
  <c r="I124" i="21"/>
  <c r="W133" i="21"/>
  <c r="W135" i="21"/>
  <c r="W175" i="21"/>
  <c r="I136" i="21"/>
  <c r="P164" i="21"/>
  <c r="P167" i="21"/>
  <c r="P180" i="21"/>
  <c r="P183" i="21"/>
  <c r="W122" i="21"/>
  <c r="W124" i="21"/>
  <c r="P217" i="21"/>
  <c r="P122" i="21"/>
  <c r="P124" i="21"/>
  <c r="P216" i="21"/>
  <c r="P175" i="21"/>
  <c r="W136" i="21"/>
  <c r="W179" i="21"/>
  <c r="AA231" i="13"/>
  <c r="AK219" i="13"/>
  <c r="AJ219" i="13"/>
  <c r="AI219" i="13"/>
  <c r="F96" i="16"/>
  <c r="I96" i="16" s="1"/>
  <c r="AJ169" i="13"/>
  <c r="BS170" i="13"/>
  <c r="AK169" i="13"/>
  <c r="BT170" i="13"/>
  <c r="AI169" i="13"/>
  <c r="BR170" i="13"/>
  <c r="BD173" i="13"/>
  <c r="BE173" i="13" s="1"/>
  <c r="I168" i="5" s="1"/>
  <c r="I165" i="21" s="1"/>
  <c r="AI243" i="13"/>
  <c r="H171" i="5" s="1"/>
  <c r="F11" i="21"/>
  <c r="AF11" i="21" s="1"/>
  <c r="AC212" i="5"/>
  <c r="AC17" i="5"/>
  <c r="F17" i="21"/>
  <c r="AF17" i="21" s="1"/>
  <c r="AC55" i="5"/>
  <c r="F55" i="21"/>
  <c r="AF55" i="21" s="1"/>
  <c r="AC157" i="5"/>
  <c r="AC84" i="5"/>
  <c r="AC61" i="5"/>
  <c r="F61" i="21"/>
  <c r="AF61" i="21" s="1"/>
  <c r="AC178" i="5"/>
  <c r="F175" i="21"/>
  <c r="AF175" i="21" s="1"/>
  <c r="AC104" i="5"/>
  <c r="F104" i="21"/>
  <c r="AF104" i="21" s="1"/>
  <c r="AC220" i="5"/>
  <c r="F217" i="21"/>
  <c r="AF217" i="21" s="1"/>
  <c r="AC51" i="5"/>
  <c r="F51" i="21"/>
  <c r="AF51" i="21" s="1"/>
  <c r="AC107" i="5"/>
  <c r="F106" i="21"/>
  <c r="AF106" i="21" s="1"/>
  <c r="AC100" i="5"/>
  <c r="F100" i="21"/>
  <c r="AF100" i="21" s="1"/>
  <c r="AC176" i="5"/>
  <c r="F173" i="21"/>
  <c r="AF173" i="21" s="1"/>
  <c r="AC62" i="5"/>
  <c r="F62" i="21"/>
  <c r="AF62" i="21" s="1"/>
  <c r="AC98" i="5"/>
  <c r="F98" i="21"/>
  <c r="AF98" i="21" s="1"/>
  <c r="AC118" i="5"/>
  <c r="AC254" i="5" s="1"/>
  <c r="AC69" i="5"/>
  <c r="F69" i="21"/>
  <c r="AF69" i="21" s="1"/>
  <c r="AC184" i="5"/>
  <c r="F181" i="21"/>
  <c r="AF181" i="21" s="1"/>
  <c r="AC72" i="5"/>
  <c r="F72" i="21"/>
  <c r="AF72" i="21" s="1"/>
  <c r="AC26" i="5"/>
  <c r="F26" i="21"/>
  <c r="AF26" i="21" s="1"/>
  <c r="AC20" i="5"/>
  <c r="AC246" i="5" s="1"/>
  <c r="F20" i="21"/>
  <c r="AF20" i="21" s="1"/>
  <c r="AC58" i="5"/>
  <c r="F58" i="21"/>
  <c r="AF58" i="21" s="1"/>
  <c r="AC74" i="5"/>
  <c r="AC156" i="5"/>
  <c r="AF153" i="21"/>
  <c r="AC224" i="5"/>
  <c r="F221" i="21"/>
  <c r="AF221" i="21" s="1"/>
  <c r="AC201" i="5"/>
  <c r="AC182" i="5"/>
  <c r="F179" i="21"/>
  <c r="AF179" i="21" s="1"/>
  <c r="AC71" i="5"/>
  <c r="F70" i="21"/>
  <c r="AF70" i="21" s="1"/>
  <c r="K65" i="21"/>
  <c r="I31" i="21"/>
  <c r="AC27" i="5"/>
  <c r="F27" i="21"/>
  <c r="AF27" i="21" s="1"/>
  <c r="F135" i="21"/>
  <c r="AF135" i="21" s="1"/>
  <c r="AC141" i="5"/>
  <c r="F139" i="21"/>
  <c r="AF139" i="21" s="1"/>
  <c r="AC222" i="5"/>
  <c r="F219" i="21"/>
  <c r="AF219" i="21" s="1"/>
  <c r="AC97" i="5"/>
  <c r="F97" i="21"/>
  <c r="AF97" i="21" s="1"/>
  <c r="AC18" i="5"/>
  <c r="F18" i="21"/>
  <c r="AF18" i="21" s="1"/>
  <c r="AC202" i="5"/>
  <c r="AF211" i="21"/>
  <c r="AC170" i="5"/>
  <c r="F167" i="21"/>
  <c r="AF167" i="21" s="1"/>
  <c r="AC130" i="5"/>
  <c r="F129" i="21"/>
  <c r="AF129" i="21" s="1"/>
  <c r="AC66" i="5"/>
  <c r="AC251" i="5" s="1"/>
  <c r="F66" i="21"/>
  <c r="AF66" i="21" s="1"/>
  <c r="AC52" i="5"/>
  <c r="F52" i="21"/>
  <c r="AF52" i="21" s="1"/>
  <c r="AC33" i="5"/>
  <c r="F33" i="21"/>
  <c r="AF33" i="21" s="1"/>
  <c r="AC159" i="5"/>
  <c r="AF156" i="21"/>
  <c r="AC78" i="5"/>
  <c r="AC187" i="5"/>
  <c r="AC41" i="5"/>
  <c r="F41" i="21"/>
  <c r="AF41" i="21" s="1"/>
  <c r="AC174" i="5"/>
  <c r="F170" i="21"/>
  <c r="AF170" i="21" s="1"/>
  <c r="AC164" i="5"/>
  <c r="AC31" i="5"/>
  <c r="AC248" i="5" s="1"/>
  <c r="F31" i="21"/>
  <c r="AF31" i="21" s="1"/>
  <c r="AC109" i="5"/>
  <c r="F108" i="21"/>
  <c r="AF108" i="21" s="1"/>
  <c r="AC122" i="5"/>
  <c r="F121" i="21"/>
  <c r="AF121" i="21" s="1"/>
  <c r="AC82" i="5"/>
  <c r="F82" i="21"/>
  <c r="AF82" i="21" s="1"/>
  <c r="AC88" i="5"/>
  <c r="AC32" i="5"/>
  <c r="F32" i="21"/>
  <c r="AF32" i="21" s="1"/>
  <c r="AC75" i="5"/>
  <c r="F75" i="21"/>
  <c r="AF75" i="21" s="1"/>
  <c r="AC207" i="5"/>
  <c r="AC166" i="5"/>
  <c r="AC126" i="5"/>
  <c r="F125" i="21"/>
  <c r="AF125" i="21" s="1"/>
  <c r="AC15" i="5"/>
  <c r="F15" i="21"/>
  <c r="AF15" i="21" s="1"/>
  <c r="AC124" i="5"/>
  <c r="F123" i="21"/>
  <c r="AF123" i="21" s="1"/>
  <c r="AB35" i="21"/>
  <c r="W16" i="21"/>
  <c r="AC128" i="5"/>
  <c r="F127" i="21"/>
  <c r="AF127" i="21" s="1"/>
  <c r="AC86" i="5"/>
  <c r="F86" i="21"/>
  <c r="AF86" i="21" s="1"/>
  <c r="AB211" i="21"/>
  <c r="AB95" i="21"/>
  <c r="AB104" i="21"/>
  <c r="AI183" i="13"/>
  <c r="AK183" i="13"/>
  <c r="AJ183" i="13"/>
  <c r="AJ201" i="13"/>
  <c r="AI201" i="13"/>
  <c r="AK201" i="13"/>
  <c r="AJ81" i="13"/>
  <c r="AI81" i="13"/>
  <c r="AK81" i="13"/>
  <c r="AJ210" i="13"/>
  <c r="AK210" i="13"/>
  <c r="AI210" i="13"/>
  <c r="BJ313" i="13"/>
  <c r="BS307" i="13" s="1"/>
  <c r="AD49" i="11" s="1"/>
  <c r="BI303" i="13"/>
  <c r="BR299" i="13" s="1"/>
  <c r="AK59" i="13"/>
  <c r="BD11" i="13"/>
  <c r="BE11" i="13" s="1"/>
  <c r="I12" i="5" s="1"/>
  <c r="I12" i="21" s="1"/>
  <c r="BK300" i="13"/>
  <c r="BJ324" i="13"/>
  <c r="BS313" i="13" s="1"/>
  <c r="AD55" i="11" s="1"/>
  <c r="BK313" i="13"/>
  <c r="BT307" i="13" s="1"/>
  <c r="AE49" i="11" s="1"/>
  <c r="BK324" i="13"/>
  <c r="BT313" i="13" s="1"/>
  <c r="AE55" i="11" s="1"/>
  <c r="AJ59" i="13"/>
  <c r="I248" i="5"/>
  <c r="BI313" i="13"/>
  <c r="BR307" i="13" s="1"/>
  <c r="AC49" i="11" s="1"/>
  <c r="BI300" i="13"/>
  <c r="BJ303" i="13"/>
  <c r="BS299" i="13" s="1"/>
  <c r="BJ300" i="13"/>
  <c r="AK90" i="13"/>
  <c r="BI324" i="13"/>
  <c r="BR313" i="13" s="1"/>
  <c r="AC55" i="11" s="1"/>
  <c r="AP91" i="13"/>
  <c r="BB91" i="13" s="1"/>
  <c r="AO91" i="13"/>
  <c r="BA91" i="13" s="1"/>
  <c r="AN91" i="13"/>
  <c r="AZ91" i="13" s="1"/>
  <c r="AQ91" i="13"/>
  <c r="BC91" i="13" s="1"/>
  <c r="AK16" i="13"/>
  <c r="BH29" i="13"/>
  <c r="P30" i="5" s="1"/>
  <c r="P30" i="21" s="1"/>
  <c r="BH32" i="13"/>
  <c r="P33" i="5" s="1"/>
  <c r="P33" i="21" s="1"/>
  <c r="AI75" i="13"/>
  <c r="AJ30" i="13"/>
  <c r="AK51" i="13"/>
  <c r="BJ114" i="13"/>
  <c r="BK114" i="13" s="1"/>
  <c r="BK295" i="13"/>
  <c r="AK113" i="13"/>
  <c r="AK123" i="13" s="1"/>
  <c r="W115" i="5" s="1"/>
  <c r="W115" i="21" s="1"/>
  <c r="BD114" i="13"/>
  <c r="AJ26" i="13"/>
  <c r="AK10" i="13"/>
  <c r="AK26" i="13"/>
  <c r="AK100" i="13"/>
  <c r="AK110" i="13" s="1"/>
  <c r="W101" i="5" s="1"/>
  <c r="W101" i="21" s="1"/>
  <c r="BJ317" i="13"/>
  <c r="BK319" i="13"/>
  <c r="AJ51" i="13"/>
  <c r="AJ10" i="13"/>
  <c r="BI319" i="13"/>
  <c r="AD143" i="13"/>
  <c r="AG143" i="13" s="1"/>
  <c r="C41" i="11"/>
  <c r="AD114" i="13"/>
  <c r="AE114" i="13" s="1"/>
  <c r="H105" i="5" s="1"/>
  <c r="C40" i="11"/>
  <c r="BJ295" i="13"/>
  <c r="AK148" i="13"/>
  <c r="AI51" i="13"/>
  <c r="AI10" i="13"/>
  <c r="AJ148" i="13"/>
  <c r="AJ100" i="13"/>
  <c r="AJ110" i="13" s="1"/>
  <c r="F39" i="11" s="1"/>
  <c r="BE73" i="13"/>
  <c r="I71" i="5" s="1"/>
  <c r="I71" i="21" s="1"/>
  <c r="AI100" i="13"/>
  <c r="AI110" i="13" s="1"/>
  <c r="D39" i="11" s="1"/>
  <c r="AK19" i="13"/>
  <c r="AI113" i="13"/>
  <c r="AI123" i="13" s="1"/>
  <c r="AJ90" i="13"/>
  <c r="BJ319" i="13"/>
  <c r="AJ86" i="13"/>
  <c r="AJ155" i="13"/>
  <c r="AJ166" i="13" s="1"/>
  <c r="P160" i="5" s="1"/>
  <c r="P160" i="21" s="1"/>
  <c r="AJ16" i="13"/>
  <c r="BG163" i="13"/>
  <c r="BR73" i="13"/>
  <c r="BK301" i="13"/>
  <c r="AI69" i="13"/>
  <c r="BH73" i="13"/>
  <c r="P71" i="5" s="1"/>
  <c r="P71" i="21" s="1"/>
  <c r="AI148" i="13"/>
  <c r="AK86" i="13"/>
  <c r="AK69" i="13"/>
  <c r="AI86" i="13"/>
  <c r="AJ69" i="13"/>
  <c r="AI90" i="13"/>
  <c r="AK30" i="13"/>
  <c r="BK32" i="13"/>
  <c r="W33" i="5" s="1"/>
  <c r="BE163" i="13"/>
  <c r="I157" i="5" s="1"/>
  <c r="BI317" i="13"/>
  <c r="BJ73" i="13"/>
  <c r="BE32" i="13"/>
  <c r="I33" i="5" s="1"/>
  <c r="I33" i="21" s="1"/>
  <c r="AJ113" i="13"/>
  <c r="AJ123" i="13" s="1"/>
  <c r="P115" i="5" s="1"/>
  <c r="P115" i="21" s="1"/>
  <c r="AI30" i="13"/>
  <c r="AI26" i="13"/>
  <c r="BI301" i="13"/>
  <c r="BG114" i="13"/>
  <c r="BH114" i="13" s="1"/>
  <c r="BS73" i="13"/>
  <c r="AK39" i="13"/>
  <c r="AJ39" i="13"/>
  <c r="AI39" i="13"/>
  <c r="I256" i="5"/>
  <c r="BK323" i="13"/>
  <c r="BI316" i="13"/>
  <c r="BK308" i="13"/>
  <c r="BT303" i="13" s="1"/>
  <c r="AE45" i="11" s="1"/>
  <c r="BE12" i="13"/>
  <c r="I13" i="5" s="1"/>
  <c r="BH12" i="13"/>
  <c r="P13" i="5" s="1"/>
  <c r="P13" i="21" s="1"/>
  <c r="BK12" i="13"/>
  <c r="W13" i="5" s="1"/>
  <c r="W13" i="21" s="1"/>
  <c r="AD115" i="13"/>
  <c r="BK316" i="13"/>
  <c r="BJ308" i="13"/>
  <c r="BS303" i="13" s="1"/>
  <c r="AD45" i="11" s="1"/>
  <c r="AB166" i="13"/>
  <c r="AB208" i="13"/>
  <c r="AK138" i="13"/>
  <c r="AJ138" i="13"/>
  <c r="AI138" i="13"/>
  <c r="BI308" i="13"/>
  <c r="BR303" i="13" s="1"/>
  <c r="AC45" i="11" s="1"/>
  <c r="AD122" i="13"/>
  <c r="AF122" i="13" s="1"/>
  <c r="I257" i="5"/>
  <c r="AD118" i="13"/>
  <c r="AE118" i="13" s="1"/>
  <c r="AD116" i="13"/>
  <c r="AF116" i="13" s="1"/>
  <c r="AD119" i="13"/>
  <c r="AG119" i="13" s="1"/>
  <c r="AD113" i="13"/>
  <c r="AD117" i="13"/>
  <c r="AD121" i="13"/>
  <c r="AD120" i="13"/>
  <c r="AG120" i="13" s="1"/>
  <c r="BI322" i="13"/>
  <c r="BI318" i="13"/>
  <c r="F87" i="16"/>
  <c r="I87" i="16" s="1"/>
  <c r="F200" i="5"/>
  <c r="F201" i="21" s="1"/>
  <c r="AF201" i="21" s="1"/>
  <c r="F38" i="5"/>
  <c r="AB79" i="13"/>
  <c r="F79" i="5"/>
  <c r="AB197" i="13"/>
  <c r="Z208" i="13"/>
  <c r="BI327" i="13"/>
  <c r="BR316" i="13" s="1"/>
  <c r="AC58" i="11" s="1"/>
  <c r="BJ327" i="13"/>
  <c r="BS316" i="13" s="1"/>
  <c r="AD58" i="11" s="1"/>
  <c r="AI166" i="13"/>
  <c r="BK318" i="13"/>
  <c r="BK327" i="13"/>
  <c r="BT316" i="13" s="1"/>
  <c r="AE58" i="11" s="1"/>
  <c r="BK151" i="13"/>
  <c r="W144" i="5" s="1"/>
  <c r="BH156" i="13"/>
  <c r="BJ322" i="13"/>
  <c r="BJ316" i="13"/>
  <c r="BK322" i="13"/>
  <c r="AK166" i="13"/>
  <c r="W160" i="5" s="1"/>
  <c r="W160" i="21" s="1"/>
  <c r="AK179" i="13"/>
  <c r="BJ181" i="13"/>
  <c r="AI179" i="13"/>
  <c r="BD181" i="13"/>
  <c r="AJ179" i="13"/>
  <c r="BG181" i="13"/>
  <c r="BS173" i="13"/>
  <c r="BG173" i="13"/>
  <c r="BT173" i="13"/>
  <c r="BJ173" i="13"/>
  <c r="BK312" i="13"/>
  <c r="BT306" i="13" s="1"/>
  <c r="AE48" i="11" s="1"/>
  <c r="BE22" i="13"/>
  <c r="I23" i="5" s="1"/>
  <c r="I23" i="21" s="1"/>
  <c r="BK22" i="13"/>
  <c r="W23" i="5" s="1"/>
  <c r="BH22" i="13"/>
  <c r="P23" i="5" s="1"/>
  <c r="P23" i="21" s="1"/>
  <c r="I255" i="5"/>
  <c r="BJ312" i="13"/>
  <c r="BS306" i="13" s="1"/>
  <c r="AD48" i="11" s="1"/>
  <c r="BI312" i="13"/>
  <c r="BR306" i="13" s="1"/>
  <c r="AC48" i="11" s="1"/>
  <c r="AI171" i="13"/>
  <c r="BR173" i="13"/>
  <c r="I247" i="5"/>
  <c r="AB213" i="13"/>
  <c r="I127" i="5"/>
  <c r="I127" i="21" s="1"/>
  <c r="F145" i="5"/>
  <c r="F145" i="21" s="1"/>
  <c r="AF145" i="21" s="1"/>
  <c r="AD131" i="13"/>
  <c r="AD144" i="13"/>
  <c r="AD142" i="13"/>
  <c r="AF142" i="13" s="1"/>
  <c r="AD141" i="13"/>
  <c r="AG141" i="13" s="1"/>
  <c r="AB66" i="13"/>
  <c r="C37" i="11" s="1"/>
  <c r="AD126" i="13"/>
  <c r="AD150" i="13"/>
  <c r="AE150" i="13" s="1"/>
  <c r="H143" i="5" s="1"/>
  <c r="AD128" i="13"/>
  <c r="AF128" i="13" s="1"/>
  <c r="AD133" i="13"/>
  <c r="AF133" i="13" s="1"/>
  <c r="AD134" i="13"/>
  <c r="AD135" i="13"/>
  <c r="AD129" i="13"/>
  <c r="AG129" i="13" s="1"/>
  <c r="AD138" i="13"/>
  <c r="AD151" i="13"/>
  <c r="AG151" i="13" s="1"/>
  <c r="AD140" i="13"/>
  <c r="AG140" i="13" s="1"/>
  <c r="AD130" i="13"/>
  <c r="AD136" i="13"/>
  <c r="AF136" i="13" s="1"/>
  <c r="AD127" i="13"/>
  <c r="AD139" i="13"/>
  <c r="AD148" i="13"/>
  <c r="AD147" i="13"/>
  <c r="AF147" i="13" s="1"/>
  <c r="AD145" i="13"/>
  <c r="AE145" i="13" s="1"/>
  <c r="AD149" i="13"/>
  <c r="AE149" i="13" s="1"/>
  <c r="AD137" i="13"/>
  <c r="AG137" i="13" s="1"/>
  <c r="AD132" i="13"/>
  <c r="AG132" i="13" s="1"/>
  <c r="AD146" i="13"/>
  <c r="AF146" i="13" s="1"/>
  <c r="F17" i="16"/>
  <c r="I17" i="16" s="1"/>
  <c r="P16" i="5"/>
  <c r="P16" i="21" s="1"/>
  <c r="I251" i="5"/>
  <c r="AK243" i="13"/>
  <c r="V171" i="5" s="1"/>
  <c r="F163" i="5"/>
  <c r="F163" i="21" s="1"/>
  <c r="AF163" i="21" s="1"/>
  <c r="F75" i="16"/>
  <c r="I75" i="16" s="1"/>
  <c r="AJ243" i="13"/>
  <c r="O171" i="5" s="1"/>
  <c r="AJ171" i="13"/>
  <c r="AK171" i="13"/>
  <c r="BI314" i="13"/>
  <c r="BR308" i="13" s="1"/>
  <c r="AC50" i="11" s="1"/>
  <c r="BJ314" i="13"/>
  <c r="BS308" i="13" s="1"/>
  <c r="AD50" i="11" s="1"/>
  <c r="BK314" i="13"/>
  <c r="BT308" i="13" s="1"/>
  <c r="AE50" i="11" s="1"/>
  <c r="AI204" i="13"/>
  <c r="AJ204" i="13"/>
  <c r="F46" i="5"/>
  <c r="F18" i="16"/>
  <c r="I18" i="16" s="1"/>
  <c r="AK204" i="13"/>
  <c r="BH128" i="13"/>
  <c r="P120" i="5" s="1"/>
  <c r="P120" i="21" s="1"/>
  <c r="BG24" i="13"/>
  <c r="BH24" i="13" s="1"/>
  <c r="P25" i="5" s="1"/>
  <c r="P25" i="21" s="1"/>
  <c r="BJ24" i="13"/>
  <c r="BK24" i="13" s="1"/>
  <c r="W25" i="5" s="1"/>
  <c r="W25" i="21" s="1"/>
  <c r="BE128" i="13"/>
  <c r="I120" i="5" s="1"/>
  <c r="I120" i="21" s="1"/>
  <c r="I173" i="5"/>
  <c r="BH158" i="13"/>
  <c r="BJ320" i="13" s="1"/>
  <c r="BK158" i="13"/>
  <c r="BK320" i="13"/>
  <c r="BK113" i="13"/>
  <c r="W104" i="5" s="1"/>
  <c r="W104" i="21" s="1"/>
  <c r="BK128" i="13"/>
  <c r="W120" i="5" s="1"/>
  <c r="W120" i="21" s="1"/>
  <c r="BD24" i="13"/>
  <c r="BH25" i="13"/>
  <c r="P26" i="5" s="1"/>
  <c r="P26" i="21" s="1"/>
  <c r="BK25" i="13"/>
  <c r="W26" i="5" s="1"/>
  <c r="W26" i="21" s="1"/>
  <c r="BE25" i="13"/>
  <c r="I26" i="5" s="1"/>
  <c r="I26" i="21" s="1"/>
  <c r="F196" i="5"/>
  <c r="AD13" i="13"/>
  <c r="AG13" i="13" s="1"/>
  <c r="AD23" i="13"/>
  <c r="AD24" i="13"/>
  <c r="I24" i="5"/>
  <c r="I24" i="21" s="1"/>
  <c r="AE139" i="13"/>
  <c r="AG139" i="13"/>
  <c r="AF139" i="13"/>
  <c r="AE131" i="13"/>
  <c r="AG131" i="13"/>
  <c r="AF131" i="13"/>
  <c r="AG135" i="13"/>
  <c r="AE135" i="13"/>
  <c r="AF135" i="13"/>
  <c r="AE127" i="13"/>
  <c r="AG127" i="13"/>
  <c r="AF127" i="13"/>
  <c r="I172" i="5"/>
  <c r="I172" i="21" s="1"/>
  <c r="AG193" i="13"/>
  <c r="AF193" i="13"/>
  <c r="AE193" i="13"/>
  <c r="AE176" i="13"/>
  <c r="AG176" i="13"/>
  <c r="AE172" i="13"/>
  <c r="AF172" i="13"/>
  <c r="AG172" i="13"/>
  <c r="AG180" i="13"/>
  <c r="AE180" i="13"/>
  <c r="AF180" i="13"/>
  <c r="AG184" i="13"/>
  <c r="AE184" i="13"/>
  <c r="AF184" i="13"/>
  <c r="AE190" i="13"/>
  <c r="AF190" i="13"/>
  <c r="AG190" i="13"/>
  <c r="AD22" i="13"/>
  <c r="AE22" i="13" s="1"/>
  <c r="H23" i="5" s="1"/>
  <c r="H23" i="21" s="1"/>
  <c r="F14" i="16"/>
  <c r="I14" i="16" s="1"/>
  <c r="F68" i="16"/>
  <c r="I68" i="16" s="1"/>
  <c r="F148" i="5"/>
  <c r="AD31" i="13"/>
  <c r="AF31" i="13" s="1"/>
  <c r="AD11" i="13"/>
  <c r="AF11" i="13" s="1"/>
  <c r="AD30" i="13"/>
  <c r="AD25" i="13"/>
  <c r="AE25" i="13" s="1"/>
  <c r="AD17" i="13"/>
  <c r="AE17" i="13" s="1"/>
  <c r="H18" i="5" s="1"/>
  <c r="AD21" i="13"/>
  <c r="AE21" i="13" s="1"/>
  <c r="H22" i="5" s="1"/>
  <c r="H22" i="21" s="1"/>
  <c r="AD16" i="13"/>
  <c r="AD26" i="13"/>
  <c r="AD10" i="13"/>
  <c r="AD20" i="13"/>
  <c r="AF20" i="13" s="1"/>
  <c r="AD29" i="13"/>
  <c r="AE29" i="13" s="1"/>
  <c r="H30" i="5" s="1"/>
  <c r="H30" i="21" s="1"/>
  <c r="AD33" i="13"/>
  <c r="AE33" i="13" s="1"/>
  <c r="H34" i="5" s="1"/>
  <c r="H34" i="21" s="1"/>
  <c r="AD15" i="13"/>
  <c r="AE15" i="13" s="1"/>
  <c r="H16" i="5" s="1"/>
  <c r="H16" i="21" s="1"/>
  <c r="AD19" i="13"/>
  <c r="AD28" i="13"/>
  <c r="AG28" i="13" s="1"/>
  <c r="AD12" i="13"/>
  <c r="AE12" i="13" s="1"/>
  <c r="H13" i="5" s="1"/>
  <c r="H13" i="21" s="1"/>
  <c r="AD14" i="13"/>
  <c r="AE14" i="13" s="1"/>
  <c r="H15" i="5" s="1"/>
  <c r="H15" i="21" s="1"/>
  <c r="F35" i="5"/>
  <c r="AD32" i="13"/>
  <c r="AE32" i="13" s="1"/>
  <c r="H33" i="5" s="1"/>
  <c r="H33" i="21" s="1"/>
  <c r="AD27" i="13"/>
  <c r="AG27" i="13" s="1"/>
  <c r="AD18" i="13"/>
  <c r="AF18" i="13" s="1"/>
  <c r="F95" i="5"/>
  <c r="F96" i="21" s="1"/>
  <c r="AF96" i="21" s="1"/>
  <c r="AB110" i="13"/>
  <c r="C39" i="11" s="1"/>
  <c r="F43" i="16"/>
  <c r="BE65" i="13"/>
  <c r="BH113" i="13"/>
  <c r="P104" i="5" s="1"/>
  <c r="P104" i="21" s="1"/>
  <c r="BE226" i="13"/>
  <c r="I221" i="5" s="1"/>
  <c r="BE225" i="13"/>
  <c r="I220" i="5" s="1"/>
  <c r="BE221" i="13"/>
  <c r="I216" i="5" s="1"/>
  <c r="BE218" i="13"/>
  <c r="I213" i="5" s="1"/>
  <c r="BE224" i="13"/>
  <c r="I219" i="5" s="1"/>
  <c r="BE222" i="13"/>
  <c r="I217" i="5" s="1"/>
  <c r="BE228" i="13"/>
  <c r="I223" i="5" s="1"/>
  <c r="BE113" i="13"/>
  <c r="I104" i="5" s="1"/>
  <c r="I104" i="21" s="1"/>
  <c r="BE46" i="13"/>
  <c r="I46" i="5" s="1"/>
  <c r="I46" i="21" s="1"/>
  <c r="BG227" i="13"/>
  <c r="BH227" i="13" s="1"/>
  <c r="P222" i="5" s="1"/>
  <c r="P223" i="21" s="1"/>
  <c r="BG229" i="13"/>
  <c r="BH229" i="13" s="1"/>
  <c r="P224" i="5" s="1"/>
  <c r="P225" i="21" s="1"/>
  <c r="BD229" i="13"/>
  <c r="BG219" i="13"/>
  <c r="BH219" i="13" s="1"/>
  <c r="P214" i="5" s="1"/>
  <c r="BJ227" i="13"/>
  <c r="BK227" i="13" s="1"/>
  <c r="W222" i="5" s="1"/>
  <c r="W223" i="21" s="1"/>
  <c r="BD219" i="13"/>
  <c r="BJ219" i="13"/>
  <c r="BK219" i="13" s="1"/>
  <c r="W214" i="5" s="1"/>
  <c r="BD227" i="13"/>
  <c r="BJ217" i="13"/>
  <c r="BK217" i="13" s="1"/>
  <c r="W212" i="5" s="1"/>
  <c r="W213" i="21" s="1"/>
  <c r="BG217" i="13"/>
  <c r="BH217" i="13" s="1"/>
  <c r="P212" i="5" s="1"/>
  <c r="P213" i="21" s="1"/>
  <c r="BD217" i="13"/>
  <c r="I154" i="5"/>
  <c r="I73" i="5"/>
  <c r="I61" i="5"/>
  <c r="BG155" i="13"/>
  <c r="BH155" i="13" s="1"/>
  <c r="P148" i="5" s="1"/>
  <c r="BJ155" i="13"/>
  <c r="BK155" i="13" s="1"/>
  <c r="W148" i="5" s="1"/>
  <c r="I27" i="5"/>
  <c r="I27" i="21" s="1"/>
  <c r="F65" i="16"/>
  <c r="I65" i="16" s="1"/>
  <c r="I94" i="16"/>
  <c r="F136" i="21" l="1"/>
  <c r="AF136" i="21" s="1"/>
  <c r="BT250" i="13"/>
  <c r="M70" i="11"/>
  <c r="BS250" i="13"/>
  <c r="L70" i="11"/>
  <c r="K70" i="11"/>
  <c r="BJ145" i="13"/>
  <c r="BG145" i="13"/>
  <c r="BD145" i="13"/>
  <c r="BD250" i="13" s="1"/>
  <c r="BE250" i="13" s="1"/>
  <c r="AJ50" i="13"/>
  <c r="AJ48" i="13"/>
  <c r="AK49" i="13"/>
  <c r="AK50" i="13"/>
  <c r="BJ236" i="13"/>
  <c r="AK48" i="13"/>
  <c r="AJ49" i="13"/>
  <c r="L59" i="11" s="1"/>
  <c r="AI48" i="13"/>
  <c r="AI49" i="13"/>
  <c r="BG236" i="13"/>
  <c r="BH236" i="13" s="1"/>
  <c r="P47" i="5" s="1"/>
  <c r="BD236" i="13"/>
  <c r="AI177" i="13"/>
  <c r="AD217" i="13"/>
  <c r="AF217" i="13" s="1"/>
  <c r="AD225" i="13"/>
  <c r="AG225" i="13" s="1"/>
  <c r="AD222" i="13"/>
  <c r="AG222" i="13" s="1"/>
  <c r="AD218" i="13"/>
  <c r="AF218" i="13" s="1"/>
  <c r="AD221" i="13"/>
  <c r="AD220" i="13"/>
  <c r="AE220" i="13" s="1"/>
  <c r="H215" i="5" s="1"/>
  <c r="AD230" i="13"/>
  <c r="AF230" i="13" s="1"/>
  <c r="AD227" i="13"/>
  <c r="AE227" i="13" s="1"/>
  <c r="H222" i="5" s="1"/>
  <c r="AD224" i="13"/>
  <c r="AG224" i="13" s="1"/>
  <c r="AD226" i="13"/>
  <c r="AE226" i="13" s="1"/>
  <c r="H221" i="5" s="1"/>
  <c r="AD219" i="13"/>
  <c r="AE219" i="13" s="1"/>
  <c r="H214" i="5" s="1"/>
  <c r="AD228" i="13"/>
  <c r="AF228" i="13" s="1"/>
  <c r="C45" i="11"/>
  <c r="AD229" i="13"/>
  <c r="AF229" i="13" s="1"/>
  <c r="F226" i="5"/>
  <c r="F226" i="21" s="1"/>
  <c r="P105" i="5"/>
  <c r="P106" i="21" s="1"/>
  <c r="W107" i="21"/>
  <c r="W105" i="5"/>
  <c r="W105" i="21" s="1"/>
  <c r="P151" i="21"/>
  <c r="P149" i="5"/>
  <c r="AJ221" i="13"/>
  <c r="AJ231" i="13" s="1"/>
  <c r="P226" i="5" s="1"/>
  <c r="P226" i="21" s="1"/>
  <c r="AI221" i="13"/>
  <c r="AK221" i="13"/>
  <c r="I61" i="21"/>
  <c r="I62" i="21"/>
  <c r="I157" i="21"/>
  <c r="I158" i="21"/>
  <c r="I155" i="21"/>
  <c r="AC214" i="5"/>
  <c r="I168" i="21"/>
  <c r="F107" i="16"/>
  <c r="I107" i="16" s="1"/>
  <c r="AC47" i="5"/>
  <c r="F47" i="21"/>
  <c r="AF47" i="21" s="1"/>
  <c r="AF223" i="21"/>
  <c r="P221" i="21"/>
  <c r="P224" i="21"/>
  <c r="W142" i="21"/>
  <c r="W144" i="21"/>
  <c r="F148" i="21"/>
  <c r="AF148" i="21" s="1"/>
  <c r="F149" i="21"/>
  <c r="AF149" i="21" s="1"/>
  <c r="F164" i="21"/>
  <c r="AF164" i="21" s="1"/>
  <c r="W215" i="21"/>
  <c r="I169" i="21"/>
  <c r="I174" i="21"/>
  <c r="P215" i="21"/>
  <c r="I218" i="21"/>
  <c r="I220" i="21"/>
  <c r="W214" i="21"/>
  <c r="P70" i="21"/>
  <c r="P72" i="21"/>
  <c r="I70" i="21"/>
  <c r="I72" i="21"/>
  <c r="P148" i="21"/>
  <c r="I119" i="21"/>
  <c r="I121" i="21"/>
  <c r="P214" i="21"/>
  <c r="I216" i="21"/>
  <c r="P212" i="21"/>
  <c r="W212" i="21"/>
  <c r="P119" i="21"/>
  <c r="P121" i="21"/>
  <c r="W219" i="21"/>
  <c r="W222" i="21"/>
  <c r="I217" i="21"/>
  <c r="W119" i="21"/>
  <c r="W121" i="21"/>
  <c r="P107" i="21"/>
  <c r="I171" i="21"/>
  <c r="I175" i="21"/>
  <c r="I126" i="21"/>
  <c r="I128" i="21"/>
  <c r="W148" i="21"/>
  <c r="I73" i="21"/>
  <c r="I74" i="21"/>
  <c r="P219" i="21"/>
  <c r="P222" i="21"/>
  <c r="AG114" i="13"/>
  <c r="AF114" i="13"/>
  <c r="AC196" i="5"/>
  <c r="AB43" i="21"/>
  <c r="W23" i="21"/>
  <c r="AC95" i="5"/>
  <c r="AC252" i="5" s="1"/>
  <c r="F95" i="21"/>
  <c r="AF95" i="21" s="1"/>
  <c r="AC35" i="5"/>
  <c r="F35" i="21"/>
  <c r="AF35" i="21" s="1"/>
  <c r="J37" i="21"/>
  <c r="H18" i="21"/>
  <c r="AB67" i="21"/>
  <c r="W33" i="21"/>
  <c r="AC79" i="5"/>
  <c r="F79" i="21"/>
  <c r="AF79" i="21" s="1"/>
  <c r="AC145" i="5"/>
  <c r="AF143" i="21"/>
  <c r="AC38" i="5"/>
  <c r="F38" i="21"/>
  <c r="AF38" i="21" s="1"/>
  <c r="AC148" i="5"/>
  <c r="AC259" i="5" s="1"/>
  <c r="AF146" i="21"/>
  <c r="AC200" i="5"/>
  <c r="F197" i="21"/>
  <c r="AF197" i="21" s="1"/>
  <c r="AC46" i="5"/>
  <c r="AC236" i="5" s="1"/>
  <c r="F46" i="21"/>
  <c r="AF46" i="21" s="1"/>
  <c r="I13" i="21"/>
  <c r="AC163" i="5"/>
  <c r="AB221" i="21"/>
  <c r="BS310" i="13"/>
  <c r="AD52" i="11" s="1"/>
  <c r="I18" i="3"/>
  <c r="AE119" i="13"/>
  <c r="H111" i="5" s="1"/>
  <c r="BT297" i="13"/>
  <c r="AE39" i="11" s="1"/>
  <c r="BI295" i="13"/>
  <c r="AF120" i="13"/>
  <c r="AE120" i="13"/>
  <c r="H112" i="5" s="1"/>
  <c r="BJ91" i="13"/>
  <c r="BK91" i="13" s="1"/>
  <c r="W88" i="5" s="1"/>
  <c r="AJ213" i="13"/>
  <c r="AI213" i="13"/>
  <c r="AK213" i="13"/>
  <c r="AK178" i="13"/>
  <c r="AK177" i="13"/>
  <c r="AI178" i="13"/>
  <c r="BR177" i="13"/>
  <c r="AJ178" i="13"/>
  <c r="AJ177" i="13"/>
  <c r="BR297" i="13"/>
  <c r="AC39" i="11" s="1"/>
  <c r="AE11" i="13"/>
  <c r="H12" i="5" s="1"/>
  <c r="H12" i="21" s="1"/>
  <c r="BK311" i="13"/>
  <c r="BT305" i="13" s="1"/>
  <c r="AE47" i="11" s="1"/>
  <c r="BI299" i="13"/>
  <c r="BK309" i="13"/>
  <c r="BT304" i="13" s="1"/>
  <c r="AE46" i="11" s="1"/>
  <c r="BK299" i="13"/>
  <c r="T265" i="13"/>
  <c r="BI311" i="13"/>
  <c r="BR305" i="13" s="1"/>
  <c r="AC47" i="11" s="1"/>
  <c r="BK302" i="13"/>
  <c r="BT298" i="13" s="1"/>
  <c r="AE40" i="11" s="1"/>
  <c r="BK297" i="13"/>
  <c r="BJ306" i="13"/>
  <c r="BS301" i="13" s="1"/>
  <c r="AD43" i="11" s="1"/>
  <c r="BJ302" i="13"/>
  <c r="BS298" i="13" s="1"/>
  <c r="AD40" i="11" s="1"/>
  <c r="BK296" i="13"/>
  <c r="BT295" i="13" s="1"/>
  <c r="AE37" i="11" s="1"/>
  <c r="BI323" i="13"/>
  <c r="BR312" i="13" s="1"/>
  <c r="AC54" i="11" s="1"/>
  <c r="BJ301" i="13"/>
  <c r="BS297" i="13" s="1"/>
  <c r="AD39" i="11" s="1"/>
  <c r="BI297" i="13"/>
  <c r="BJ296" i="13"/>
  <c r="BS295" i="13" s="1"/>
  <c r="AD37" i="11" s="1"/>
  <c r="BJ318" i="13"/>
  <c r="BD91" i="13"/>
  <c r="BE91" i="13" s="1"/>
  <c r="BI302" i="13"/>
  <c r="BR298" i="13" s="1"/>
  <c r="AC40" i="11" s="1"/>
  <c r="BI296" i="13"/>
  <c r="BK317" i="13"/>
  <c r="BT310" i="13" s="1"/>
  <c r="AE52" i="11" s="1"/>
  <c r="BJ297" i="13"/>
  <c r="BJ299" i="13"/>
  <c r="BJ311" i="13"/>
  <c r="BS305" i="13" s="1"/>
  <c r="AD47" i="11" s="1"/>
  <c r="BI325" i="13"/>
  <c r="BR314" i="13" s="1"/>
  <c r="AC56" i="11" s="1"/>
  <c r="BI306" i="13"/>
  <c r="BR301" i="13" s="1"/>
  <c r="AC43" i="11" s="1"/>
  <c r="BG91" i="13"/>
  <c r="BH91" i="13" s="1"/>
  <c r="BE114" i="13"/>
  <c r="AF143" i="13"/>
  <c r="O135" i="5" s="1"/>
  <c r="AJ36" i="13"/>
  <c r="P35" i="5" s="1"/>
  <c r="P35" i="21" s="1"/>
  <c r="AE143" i="13"/>
  <c r="H135" i="5" s="1"/>
  <c r="I101" i="5"/>
  <c r="I101" i="21" s="1"/>
  <c r="AK152" i="13"/>
  <c r="H41" i="11" s="1"/>
  <c r="I41" i="11" s="1"/>
  <c r="M41" i="11" s="1"/>
  <c r="AF28" i="11" s="1"/>
  <c r="AI36" i="13"/>
  <c r="D36" i="11" s="1"/>
  <c r="E36" i="11" s="1"/>
  <c r="K36" i="11" s="1"/>
  <c r="AD23" i="11" s="1"/>
  <c r="AJ152" i="13"/>
  <c r="F41" i="11" s="1"/>
  <c r="G41" i="11" s="1"/>
  <c r="L41" i="11" s="1"/>
  <c r="AE28" i="11" s="1"/>
  <c r="AD161" i="13"/>
  <c r="AE161" i="13" s="1"/>
  <c r="C42" i="11"/>
  <c r="AD195" i="13"/>
  <c r="AF195" i="13" s="1"/>
  <c r="C43" i="11"/>
  <c r="AG118" i="13"/>
  <c r="AG117" i="13" s="1"/>
  <c r="AI152" i="13"/>
  <c r="I145" i="5" s="1"/>
  <c r="I145" i="21" s="1"/>
  <c r="AK36" i="13"/>
  <c r="W35" i="5" s="1"/>
  <c r="W35" i="21" s="1"/>
  <c r="AE116" i="13"/>
  <c r="AE115" i="13" s="1"/>
  <c r="AG116" i="13"/>
  <c r="AG115" i="13" s="1"/>
  <c r="AD157" i="13"/>
  <c r="AE157" i="13" s="1"/>
  <c r="H151" i="5" s="1"/>
  <c r="AD164" i="13"/>
  <c r="AD158" i="13"/>
  <c r="AE158" i="13" s="1"/>
  <c r="H152" i="5" s="1"/>
  <c r="F192" i="5"/>
  <c r="AD165" i="13"/>
  <c r="AE165" i="13" s="1"/>
  <c r="AD163" i="13"/>
  <c r="AE163" i="13" s="1"/>
  <c r="AD194" i="13"/>
  <c r="AF194" i="13" s="1"/>
  <c r="AD159" i="13"/>
  <c r="AD160" i="13"/>
  <c r="AD155" i="13"/>
  <c r="AD162" i="13"/>
  <c r="AD187" i="13"/>
  <c r="AD181" i="13"/>
  <c r="AF181" i="13" s="1"/>
  <c r="AD193" i="13"/>
  <c r="AD156" i="13"/>
  <c r="AG156" i="13" s="1"/>
  <c r="V149" i="5" s="1"/>
  <c r="BH163" i="13"/>
  <c r="P157" i="5" s="1"/>
  <c r="BR310" i="13"/>
  <c r="AC52" i="11" s="1"/>
  <c r="BK73" i="13"/>
  <c r="W71" i="5" s="1"/>
  <c r="W71" i="21" s="1"/>
  <c r="BT312" i="13"/>
  <c r="AE54" i="11" s="1"/>
  <c r="BJ309" i="13"/>
  <c r="BS304" i="13" s="1"/>
  <c r="AD46" i="11" s="1"/>
  <c r="P101" i="5"/>
  <c r="P101" i="21" s="1"/>
  <c r="F205" i="5"/>
  <c r="F205" i="21" s="1"/>
  <c r="AJ208" i="13"/>
  <c r="AI208" i="13"/>
  <c r="AK208" i="13"/>
  <c r="AG122" i="13"/>
  <c r="AG121" i="13" s="1"/>
  <c r="AE122" i="13"/>
  <c r="AE121" i="13" s="1"/>
  <c r="BK173" i="13"/>
  <c r="W168" i="5" s="1"/>
  <c r="W169" i="21" s="1"/>
  <c r="BH173" i="13"/>
  <c r="P168" i="5" s="1"/>
  <c r="P169" i="21" s="1"/>
  <c r="BH181" i="13"/>
  <c r="P176" i="5" s="1"/>
  <c r="P177" i="21" s="1"/>
  <c r="BE181" i="13"/>
  <c r="I176" i="5" s="1"/>
  <c r="I177" i="21" s="1"/>
  <c r="BI326" i="13"/>
  <c r="BR315" i="13" s="1"/>
  <c r="AC57" i="11" s="1"/>
  <c r="BK181" i="13"/>
  <c r="W176" i="5" s="1"/>
  <c r="W177" i="21" s="1"/>
  <c r="BK326" i="13"/>
  <c r="BT315" i="13" s="1"/>
  <c r="AE57" i="11" s="1"/>
  <c r="AF118" i="13"/>
  <c r="O110" i="5" s="1"/>
  <c r="F203" i="5"/>
  <c r="F204" i="21" s="1"/>
  <c r="AF204" i="21" s="1"/>
  <c r="AF141" i="13"/>
  <c r="F89" i="16"/>
  <c r="I89" i="16" s="1"/>
  <c r="AF119" i="13"/>
  <c r="V111" i="5"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H177" i="5" s="1"/>
  <c r="AD189" i="13"/>
  <c r="AD178" i="13"/>
  <c r="AD185" i="13"/>
  <c r="AG185" i="13" s="1"/>
  <c r="AB211" i="13"/>
  <c r="I16" i="3" s="1"/>
  <c r="AE142" i="13"/>
  <c r="H134" i="5" s="1"/>
  <c r="AG142" i="13"/>
  <c r="V134" i="5" s="1"/>
  <c r="V133" i="5"/>
  <c r="V112" i="5"/>
  <c r="V135" i="5"/>
  <c r="W152" i="5"/>
  <c r="W152" i="21" s="1"/>
  <c r="P152" i="5"/>
  <c r="P152" i="21" s="1"/>
  <c r="AE141" i="13"/>
  <c r="H133" i="5" s="1"/>
  <c r="BE24" i="13"/>
  <c r="I25" i="5" s="1"/>
  <c r="I25" i="21" s="1"/>
  <c r="F208" i="5"/>
  <c r="F208" i="21" s="1"/>
  <c r="AF208" i="21" s="1"/>
  <c r="AE147" i="13"/>
  <c r="H140" i="5" s="1"/>
  <c r="AG147" i="13"/>
  <c r="V140" i="5" s="1"/>
  <c r="AE137" i="13"/>
  <c r="H129" i="5" s="1"/>
  <c r="AF137" i="13"/>
  <c r="AF145" i="13"/>
  <c r="AF144" i="13" s="1"/>
  <c r="AG145" i="13"/>
  <c r="AE136" i="13"/>
  <c r="H128" i="5" s="1"/>
  <c r="AG136" i="13"/>
  <c r="V128" i="5" s="1"/>
  <c r="AD45" i="13"/>
  <c r="AG45" i="13" s="1"/>
  <c r="AD40" i="13"/>
  <c r="Z211" i="13"/>
  <c r="F83" i="16"/>
  <c r="I83" i="16" s="1"/>
  <c r="AD39" i="13"/>
  <c r="AD46" i="13"/>
  <c r="AD44" i="13"/>
  <c r="AG44" i="13" s="1"/>
  <c r="AD42" i="13"/>
  <c r="AF42" i="13" s="1"/>
  <c r="F63" i="5"/>
  <c r="F63" i="21" s="1"/>
  <c r="AF63" i="21" s="1"/>
  <c r="AD55" i="13"/>
  <c r="AD53" i="13"/>
  <c r="AG53" i="13" s="1"/>
  <c r="AD50" i="13"/>
  <c r="AD51" i="13"/>
  <c r="AD54" i="13"/>
  <c r="AF54" i="13" s="1"/>
  <c r="AD62" i="13"/>
  <c r="AD59" i="13"/>
  <c r="AD64" i="13"/>
  <c r="AG64" i="13" s="1"/>
  <c r="AD56" i="13"/>
  <c r="AD48" i="13"/>
  <c r="AD58" i="13"/>
  <c r="AE58" i="13" s="1"/>
  <c r="H57" i="5" s="1"/>
  <c r="H57" i="21" s="1"/>
  <c r="AD63" i="13"/>
  <c r="AD49" i="13"/>
  <c r="AD43" i="13"/>
  <c r="AG43" i="13" s="1"/>
  <c r="AD60" i="13"/>
  <c r="AE60" i="13" s="1"/>
  <c r="H59" i="5" s="1"/>
  <c r="AB203" i="13"/>
  <c r="AD152" i="13"/>
  <c r="AD41" i="13"/>
  <c r="AG41" i="13" s="1"/>
  <c r="AD57" i="13"/>
  <c r="AB202" i="13"/>
  <c r="AD61" i="13"/>
  <c r="AE61" i="13" s="1"/>
  <c r="H60" i="5" s="1"/>
  <c r="AD65" i="13"/>
  <c r="AD47" i="13"/>
  <c r="AD52" i="13"/>
  <c r="AE52" i="13" s="1"/>
  <c r="H52" i="5" s="1"/>
  <c r="AG150" i="13"/>
  <c r="AF150" i="13"/>
  <c r="AE133" i="13"/>
  <c r="H125" i="5" s="1"/>
  <c r="AG133" i="13"/>
  <c r="V125" i="5" s="1"/>
  <c r="AG128" i="13"/>
  <c r="V120" i="5" s="1"/>
  <c r="AE128" i="13"/>
  <c r="H120" i="5" s="1"/>
  <c r="AE129" i="13"/>
  <c r="H121" i="5" s="1"/>
  <c r="AF129" i="13"/>
  <c r="AG149" i="13"/>
  <c r="AF149" i="13"/>
  <c r="AG146" i="13"/>
  <c r="V139" i="5" s="1"/>
  <c r="AE146" i="13"/>
  <c r="H139" i="5" s="1"/>
  <c r="AF140" i="13"/>
  <c r="AE140" i="13"/>
  <c r="AF132" i="13"/>
  <c r="V124" i="5" s="1"/>
  <c r="AE132" i="13"/>
  <c r="H124" i="5" s="1"/>
  <c r="AE151" i="13"/>
  <c r="H144" i="5" s="1"/>
  <c r="H144" i="21" s="1"/>
  <c r="AF151" i="13"/>
  <c r="BK243" i="13"/>
  <c r="W171" i="5" s="1"/>
  <c r="W171" i="21" s="1"/>
  <c r="BH243" i="13"/>
  <c r="P171" i="5" s="1"/>
  <c r="P171" i="21" s="1"/>
  <c r="F26" i="16"/>
  <c r="I26" i="16" s="1"/>
  <c r="AE13" i="13"/>
  <c r="H14" i="5" s="1"/>
  <c r="H14" i="21" s="1"/>
  <c r="AF13" i="13"/>
  <c r="AG11" i="13"/>
  <c r="V12" i="5" s="1"/>
  <c r="V12" i="21" s="1"/>
  <c r="AF25" i="13"/>
  <c r="AG24" i="13"/>
  <c r="AE24" i="13"/>
  <c r="H25" i="5" s="1"/>
  <c r="H25" i="21" s="1"/>
  <c r="AF24" i="13"/>
  <c r="AE23" i="13"/>
  <c r="H24" i="5" s="1"/>
  <c r="H24" i="21" s="1"/>
  <c r="AF23" i="13"/>
  <c r="AG23" i="13"/>
  <c r="H26" i="5"/>
  <c r="H26" i="21" s="1"/>
  <c r="AE28" i="13"/>
  <c r="H29" i="5" s="1"/>
  <c r="H29" i="21" s="1"/>
  <c r="AG230" i="13"/>
  <c r="V225" i="5" s="1"/>
  <c r="AE230" i="13"/>
  <c r="H225" i="5" s="1"/>
  <c r="AF57" i="13"/>
  <c r="AE57" i="13"/>
  <c r="AG57" i="13"/>
  <c r="AG47" i="13"/>
  <c r="AE47" i="13"/>
  <c r="AF47" i="13"/>
  <c r="AG21" i="13"/>
  <c r="AF14" i="13"/>
  <c r="AG14" i="13"/>
  <c r="AF21" i="13"/>
  <c r="AF32" i="13"/>
  <c r="AG32" i="13"/>
  <c r="AE20" i="13"/>
  <c r="H21" i="5" s="1"/>
  <c r="H21" i="21" s="1"/>
  <c r="AG31" i="13"/>
  <c r="V32" i="5" s="1"/>
  <c r="V32" i="21" s="1"/>
  <c r="AE31" i="13"/>
  <c r="H32" i="5" s="1"/>
  <c r="H32" i="21" s="1"/>
  <c r="AG15" i="13"/>
  <c r="AG22" i="13"/>
  <c r="AF15" i="13"/>
  <c r="AF22" i="13"/>
  <c r="O23" i="5" s="1"/>
  <c r="O23" i="21" s="1"/>
  <c r="AG33" i="13"/>
  <c r="AF33" i="13"/>
  <c r="AG25" i="13"/>
  <c r="AF28" i="13"/>
  <c r="AF17" i="13"/>
  <c r="AG12" i="13"/>
  <c r="AG17" i="13"/>
  <c r="AG18" i="13"/>
  <c r="V19" i="5" s="1"/>
  <c r="V19" i="21" s="1"/>
  <c r="AE18" i="13"/>
  <c r="H19" i="5" s="1"/>
  <c r="H19" i="21" s="1"/>
  <c r="AG20" i="13"/>
  <c r="V21" i="5" s="1"/>
  <c r="V21" i="21" s="1"/>
  <c r="AF12" i="13"/>
  <c r="AF27" i="13"/>
  <c r="V28" i="5" s="1"/>
  <c r="V28" i="21" s="1"/>
  <c r="AE27" i="13"/>
  <c r="H28" i="5" s="1"/>
  <c r="H28" i="21" s="1"/>
  <c r="AG29" i="13"/>
  <c r="AF29" i="13"/>
  <c r="AD36" i="13"/>
  <c r="AF115" i="13"/>
  <c r="H110" i="5"/>
  <c r="AF121" i="13"/>
  <c r="V132" i="5"/>
  <c r="O128" i="5"/>
  <c r="H142" i="5"/>
  <c r="H143" i="21" s="1"/>
  <c r="I43" i="16"/>
  <c r="F49" i="16"/>
  <c r="I49" i="16" s="1"/>
  <c r="H138" i="5"/>
  <c r="AD105" i="13"/>
  <c r="AD100" i="13"/>
  <c r="AD109" i="13"/>
  <c r="AD107" i="13"/>
  <c r="AD106" i="13"/>
  <c r="AD108" i="13"/>
  <c r="AD104" i="13"/>
  <c r="AD103" i="13"/>
  <c r="AD102" i="13"/>
  <c r="AD101" i="13"/>
  <c r="F101" i="5"/>
  <c r="G39" i="11"/>
  <c r="L39" i="11" s="1"/>
  <c r="AE26" i="11" s="1"/>
  <c r="H39" i="11"/>
  <c r="AE113" i="13"/>
  <c r="BE219" i="13"/>
  <c r="I214" i="5" s="1"/>
  <c r="BE217" i="13"/>
  <c r="I212" i="5" s="1"/>
  <c r="I213" i="21" s="1"/>
  <c r="BE229" i="13"/>
  <c r="I224" i="5" s="1"/>
  <c r="I225" i="21" s="1"/>
  <c r="BE227" i="13"/>
  <c r="I222" i="5" s="1"/>
  <c r="I223" i="21" s="1"/>
  <c r="AE218" i="13"/>
  <c r="H213" i="5" s="1"/>
  <c r="AE223" i="13"/>
  <c r="H218" i="5" s="1"/>
  <c r="AG223" i="13"/>
  <c r="AF223" i="13"/>
  <c r="AE222" i="13"/>
  <c r="H217" i="5" s="1"/>
  <c r="AF222" i="13"/>
  <c r="AG217" i="13"/>
  <c r="V212" i="5" s="1"/>
  <c r="AE217" i="13"/>
  <c r="O12" i="5"/>
  <c r="O12" i="21" s="1"/>
  <c r="K11" i="21"/>
  <c r="AF225" i="13" l="1"/>
  <c r="AE225" i="13"/>
  <c r="H220" i="5" s="1"/>
  <c r="AG229" i="13"/>
  <c r="V224" i="5" s="1"/>
  <c r="AE229" i="13"/>
  <c r="H224" i="5" s="1"/>
  <c r="BT49" i="13"/>
  <c r="M59" i="11"/>
  <c r="AC226" i="5"/>
  <c r="AG218" i="13"/>
  <c r="AG220" i="13"/>
  <c r="V215" i="5" s="1"/>
  <c r="AF220" i="13"/>
  <c r="O215" i="5" s="1"/>
  <c r="AE221" i="13"/>
  <c r="H216" i="5" s="1"/>
  <c r="H216" i="21" s="1"/>
  <c r="AG221" i="13"/>
  <c r="V216" i="5" s="1"/>
  <c r="K59" i="11"/>
  <c r="BR49" i="13"/>
  <c r="BS49" i="13"/>
  <c r="AF227" i="13"/>
  <c r="O222" i="5" s="1"/>
  <c r="AG227" i="13"/>
  <c r="V222" i="5" s="1"/>
  <c r="AG226" i="13"/>
  <c r="V221" i="5" s="1"/>
  <c r="AF221" i="13"/>
  <c r="O216" i="5" s="1"/>
  <c r="AF226" i="13"/>
  <c r="O221" i="5" s="1"/>
  <c r="AI231" i="13"/>
  <c r="D45" i="11" s="1"/>
  <c r="E45" i="11" s="1"/>
  <c r="K45" i="11" s="1"/>
  <c r="AD32" i="11" s="1"/>
  <c r="AG219" i="13"/>
  <c r="V214" i="5" s="1"/>
  <c r="AK231" i="13"/>
  <c r="W226" i="5" s="1"/>
  <c r="W226" i="21" s="1"/>
  <c r="AF219" i="13"/>
  <c r="O214" i="5" s="1"/>
  <c r="AE224" i="13"/>
  <c r="H219" i="5" s="1"/>
  <c r="H219" i="21" s="1"/>
  <c r="AF224" i="13"/>
  <c r="V219" i="5" s="1"/>
  <c r="AD231" i="13"/>
  <c r="AE228" i="13"/>
  <c r="H223" i="5" s="1"/>
  <c r="H223" i="21" s="1"/>
  <c r="AG228" i="13"/>
  <c r="P105" i="21"/>
  <c r="BT177" i="13"/>
  <c r="BS177" i="13"/>
  <c r="BR178" i="13"/>
  <c r="H60" i="21"/>
  <c r="I105" i="5"/>
  <c r="I106" i="21" s="1"/>
  <c r="O105" i="5"/>
  <c r="AG113" i="13"/>
  <c r="V104" i="5" s="1"/>
  <c r="V104" i="21" s="1"/>
  <c r="V105" i="5"/>
  <c r="W106" i="21"/>
  <c r="V225" i="21"/>
  <c r="H225" i="21"/>
  <c r="P47" i="21"/>
  <c r="P48" i="21"/>
  <c r="P157" i="21"/>
  <c r="P158" i="21"/>
  <c r="H152" i="21"/>
  <c r="H153" i="21"/>
  <c r="AF165" i="13"/>
  <c r="AF164" i="13" s="1"/>
  <c r="BJ304" i="13"/>
  <c r="AD41" i="11"/>
  <c r="AG48" i="13"/>
  <c r="V13" i="5"/>
  <c r="V13" i="21" s="1"/>
  <c r="O112" i="5"/>
  <c r="AG165" i="13"/>
  <c r="AG164" i="13" s="1"/>
  <c r="AG50" i="13"/>
  <c r="AG49" i="13"/>
  <c r="V132" i="21"/>
  <c r="AI46" i="13"/>
  <c r="AI66" i="13" s="1"/>
  <c r="I63" i="5" s="1"/>
  <c r="I63" i="21" s="1"/>
  <c r="BE236" i="13"/>
  <c r="BI304" i="13"/>
  <c r="BJ49" i="13"/>
  <c r="BK49" i="13" s="1"/>
  <c r="W49" i="5" s="1"/>
  <c r="BK236" i="13"/>
  <c r="W47" i="5" s="1"/>
  <c r="BK304" i="13"/>
  <c r="AK46" i="13"/>
  <c r="AK66" i="13" s="1"/>
  <c r="H37" i="11" s="1"/>
  <c r="I37" i="11" s="1"/>
  <c r="M37" i="11" s="1"/>
  <c r="AF24" i="11" s="1"/>
  <c r="BG49" i="13"/>
  <c r="AJ46" i="13"/>
  <c r="AJ66" i="13" s="1"/>
  <c r="P63" i="5" s="1"/>
  <c r="P63" i="21" s="1"/>
  <c r="BD49" i="13"/>
  <c r="AF189" i="21"/>
  <c r="F192" i="21"/>
  <c r="I221" i="21"/>
  <c r="I224" i="21"/>
  <c r="H215" i="21"/>
  <c r="AF113" i="13"/>
  <c r="O104" i="5" s="1"/>
  <c r="O104" i="21" s="1"/>
  <c r="AF193" i="21"/>
  <c r="I215" i="21"/>
  <c r="H217" i="21"/>
  <c r="V212" i="21"/>
  <c r="H218" i="21"/>
  <c r="H214" i="21"/>
  <c r="I149" i="21"/>
  <c r="W165" i="21"/>
  <c r="W168" i="21"/>
  <c r="H124" i="21"/>
  <c r="H111" i="21"/>
  <c r="H222" i="21"/>
  <c r="P149" i="21"/>
  <c r="P165" i="21"/>
  <c r="P168" i="21"/>
  <c r="I219" i="21"/>
  <c r="I222" i="21"/>
  <c r="W70" i="21"/>
  <c r="W72" i="21"/>
  <c r="I214" i="21"/>
  <c r="H140" i="21"/>
  <c r="H128" i="21"/>
  <c r="W149" i="21"/>
  <c r="H134" i="21"/>
  <c r="I212" i="21"/>
  <c r="H120" i="21"/>
  <c r="H138" i="21"/>
  <c r="V134" i="21"/>
  <c r="W173" i="21"/>
  <c r="W176" i="21"/>
  <c r="H221" i="21"/>
  <c r="I107" i="21"/>
  <c r="V133" i="21"/>
  <c r="I173" i="21"/>
  <c r="I176" i="21"/>
  <c r="V124" i="21"/>
  <c r="P173" i="21"/>
  <c r="P176" i="21"/>
  <c r="W88" i="21"/>
  <c r="W89" i="21"/>
  <c r="AE117" i="13"/>
  <c r="BR295" i="13"/>
  <c r="AC37" i="11" s="1"/>
  <c r="AC203" i="5"/>
  <c r="AC208" i="5"/>
  <c r="AF205" i="21"/>
  <c r="AC205" i="5"/>
  <c r="F202" i="21"/>
  <c r="AF202" i="21" s="1"/>
  <c r="AC101" i="5"/>
  <c r="F101" i="21"/>
  <c r="AF101" i="21" s="1"/>
  <c r="BK307" i="13"/>
  <c r="BT302" i="13" s="1"/>
  <c r="AB193" i="21"/>
  <c r="AB145" i="21"/>
  <c r="AB97" i="21"/>
  <c r="AF64" i="13"/>
  <c r="AF63" i="13" s="1"/>
  <c r="BR296" i="13"/>
  <c r="AC38" i="11" s="1"/>
  <c r="I35" i="5"/>
  <c r="I35" i="21" s="1"/>
  <c r="AG161" i="13"/>
  <c r="V155" i="5" s="1"/>
  <c r="I27" i="3"/>
  <c r="AE156" i="13"/>
  <c r="AF158" i="13"/>
  <c r="O152" i="5" s="1"/>
  <c r="AG158" i="13"/>
  <c r="V152" i="5" s="1"/>
  <c r="AF163" i="13"/>
  <c r="AF162" i="13" s="1"/>
  <c r="AE64" i="13"/>
  <c r="AE63" i="13" s="1"/>
  <c r="AG163" i="13"/>
  <c r="AG162" i="13" s="1"/>
  <c r="F36" i="11"/>
  <c r="G36" i="11" s="1"/>
  <c r="L36" i="11" s="1"/>
  <c r="AE23" i="11" s="1"/>
  <c r="AC192" i="5"/>
  <c r="AF156" i="13"/>
  <c r="AF161" i="13"/>
  <c r="AF160" i="13" s="1"/>
  <c r="AG194" i="13"/>
  <c r="V189" i="5" s="1"/>
  <c r="V189" i="21" s="1"/>
  <c r="P145" i="5"/>
  <c r="P145" i="21" s="1"/>
  <c r="AJ202" i="13"/>
  <c r="AI202" i="13"/>
  <c r="AK202" i="13"/>
  <c r="BK325" i="13"/>
  <c r="BT314" i="13" s="1"/>
  <c r="AE56" i="11" s="1"/>
  <c r="AK203" i="13"/>
  <c r="AJ203" i="13"/>
  <c r="AI203" i="13"/>
  <c r="BT296" i="13"/>
  <c r="AE38" i="11" s="1"/>
  <c r="BJ323" i="13"/>
  <c r="BS312" i="13" s="1"/>
  <c r="AD54" i="11" s="1"/>
  <c r="O34" i="5"/>
  <c r="O34" i="21" s="1"/>
  <c r="O212" i="5"/>
  <c r="O220" i="5"/>
  <c r="O142" i="5"/>
  <c r="O114" i="5"/>
  <c r="BJ325" i="13"/>
  <c r="BS314" i="13" s="1"/>
  <c r="AD56" i="11" s="1"/>
  <c r="O33" i="5"/>
  <c r="O33" i="21" s="1"/>
  <c r="O22" i="5"/>
  <c r="O22" i="21" s="1"/>
  <c r="AE194" i="13"/>
  <c r="H189" i="5" s="1"/>
  <c r="H189" i="21" s="1"/>
  <c r="BS296" i="13"/>
  <c r="AD38" i="11" s="1"/>
  <c r="O26" i="5"/>
  <c r="O26" i="21" s="1"/>
  <c r="O189" i="5"/>
  <c r="O189" i="21" s="1"/>
  <c r="O18" i="5"/>
  <c r="O18" i="21" s="1"/>
  <c r="BJ326" i="13"/>
  <c r="BS315" i="13" s="1"/>
  <c r="AD57" i="11" s="1"/>
  <c r="BK306" i="13"/>
  <c r="BT301" i="13" s="1"/>
  <c r="AE43" i="11" s="1"/>
  <c r="O30" i="5"/>
  <c r="O30" i="21" s="1"/>
  <c r="O143" i="5"/>
  <c r="BI309" i="13"/>
  <c r="BR304" i="13" s="1"/>
  <c r="AC46" i="11" s="1"/>
  <c r="O13" i="5"/>
  <c r="O13" i="21" s="1"/>
  <c r="O16" i="5"/>
  <c r="O16" i="21" s="1"/>
  <c r="O15" i="5"/>
  <c r="O15" i="21" s="1"/>
  <c r="P88" i="5"/>
  <c r="BJ307" i="13"/>
  <c r="BS302" i="13" s="1"/>
  <c r="I88" i="5"/>
  <c r="BI307" i="13"/>
  <c r="BR302" i="13" s="1"/>
  <c r="AF44" i="11" s="1"/>
  <c r="H108" i="5"/>
  <c r="AE181" i="13"/>
  <c r="H176" i="5" s="1"/>
  <c r="AG157" i="13"/>
  <c r="W145" i="5"/>
  <c r="W145" i="21" s="1"/>
  <c r="AF192" i="13"/>
  <c r="AG195" i="13"/>
  <c r="V190" i="5" s="1"/>
  <c r="AE195" i="13"/>
  <c r="H190" i="5" s="1"/>
  <c r="F45" i="11"/>
  <c r="G45" i="11" s="1"/>
  <c r="L45" i="11" s="1"/>
  <c r="AE32" i="11" s="1"/>
  <c r="O111" i="5"/>
  <c r="O111" i="21" s="1"/>
  <c r="V110" i="5"/>
  <c r="V111" i="21" s="1"/>
  <c r="D41" i="11"/>
  <c r="E41" i="11" s="1"/>
  <c r="K41" i="11" s="1"/>
  <c r="AD28" i="11" s="1"/>
  <c r="H36" i="11"/>
  <c r="I36" i="11" s="1"/>
  <c r="M36" i="11" s="1"/>
  <c r="AF23" i="11" s="1"/>
  <c r="O25" i="5"/>
  <c r="O25" i="21" s="1"/>
  <c r="V142" i="5"/>
  <c r="V140" i="21" s="1"/>
  <c r="O224" i="5"/>
  <c r="O134" i="5"/>
  <c r="AD166" i="13"/>
  <c r="O108" i="5"/>
  <c r="O124" i="5"/>
  <c r="V217" i="5"/>
  <c r="O21" i="5"/>
  <c r="O21" i="21" s="1"/>
  <c r="O144" i="5"/>
  <c r="O129" i="5"/>
  <c r="V108" i="5"/>
  <c r="AF157" i="13"/>
  <c r="O151" i="5" s="1"/>
  <c r="AG181" i="13"/>
  <c r="V176" i="5" s="1"/>
  <c r="AG188" i="13"/>
  <c r="V183" i="5" s="1"/>
  <c r="AE188" i="13"/>
  <c r="AE187" i="13" s="1"/>
  <c r="H182" i="5" s="1"/>
  <c r="AF185" i="13"/>
  <c r="V180" i="5" s="1"/>
  <c r="AE185" i="13"/>
  <c r="H180" i="5" s="1"/>
  <c r="AG186" i="13"/>
  <c r="V181" i="5" s="1"/>
  <c r="AE186" i="13"/>
  <c r="H181" i="5" s="1"/>
  <c r="AG196" i="13"/>
  <c r="V191" i="5" s="1"/>
  <c r="AE196" i="13"/>
  <c r="H191" i="5" s="1"/>
  <c r="V114" i="5"/>
  <c r="AE178" i="13"/>
  <c r="H173" i="5" s="1"/>
  <c r="AF182" i="13"/>
  <c r="AF179" i="13" s="1"/>
  <c r="AK211" i="13"/>
  <c r="AJ211" i="13"/>
  <c r="AI211" i="13"/>
  <c r="AG182" i="13"/>
  <c r="V177" i="5" s="1"/>
  <c r="H114" i="5"/>
  <c r="AG177" i="13"/>
  <c r="AE174" i="13"/>
  <c r="H169" i="5" s="1"/>
  <c r="AF191" i="13"/>
  <c r="AF189" i="13" s="1"/>
  <c r="AG138" i="13"/>
  <c r="V130" i="5" s="1"/>
  <c r="AG174" i="13"/>
  <c r="V169" i="5" s="1"/>
  <c r="AF138" i="13"/>
  <c r="AF117" i="13"/>
  <c r="O109" i="5" s="1"/>
  <c r="BK321" i="13"/>
  <c r="BT311" i="13" s="1"/>
  <c r="AE53" i="11" s="1"/>
  <c r="BJ321" i="13"/>
  <c r="BS311" i="13" s="1"/>
  <c r="AD53" i="11" s="1"/>
  <c r="AE170" i="13"/>
  <c r="AE169" i="13" s="1"/>
  <c r="H163" i="5" s="1"/>
  <c r="F90" i="16"/>
  <c r="I90" i="16" s="1"/>
  <c r="F206" i="5"/>
  <c r="AE173" i="13"/>
  <c r="H168" i="5" s="1"/>
  <c r="AG170" i="13"/>
  <c r="V164" i="5" s="1"/>
  <c r="AF173" i="13"/>
  <c r="AE191" i="13"/>
  <c r="AE189" i="13" s="1"/>
  <c r="H184" i="5" s="1"/>
  <c r="AD197" i="13"/>
  <c r="F198" i="5"/>
  <c r="O218" i="5"/>
  <c r="V109" i="5"/>
  <c r="V138" i="5"/>
  <c r="V107" i="5"/>
  <c r="V34" i="5"/>
  <c r="V34" i="21" s="1"/>
  <c r="O223" i="5"/>
  <c r="O176" i="5"/>
  <c r="AF44" i="13"/>
  <c r="V44" i="5" s="1"/>
  <c r="O32" i="5"/>
  <c r="O32" i="21" s="1"/>
  <c r="O213" i="5"/>
  <c r="V220" i="5"/>
  <c r="V25" i="5"/>
  <c r="V25" i="21" s="1"/>
  <c r="V30" i="5"/>
  <c r="V30" i="21" s="1"/>
  <c r="O125" i="5"/>
  <c r="V143" i="5"/>
  <c r="V23" i="5"/>
  <c r="V23" i="21" s="1"/>
  <c r="V22" i="5"/>
  <c r="V22" i="21" s="1"/>
  <c r="O24" i="5"/>
  <c r="O24" i="21" s="1"/>
  <c r="O121" i="5"/>
  <c r="V18" i="5"/>
  <c r="V129" i="5"/>
  <c r="V218" i="5"/>
  <c r="V16" i="5"/>
  <c r="V16" i="21" s="1"/>
  <c r="V168" i="5"/>
  <c r="O19" i="5"/>
  <c r="O19" i="21" s="1"/>
  <c r="V144" i="5"/>
  <c r="O140" i="5"/>
  <c r="V213" i="5"/>
  <c r="O29" i="5"/>
  <c r="O29" i="21" s="1"/>
  <c r="O225" i="5"/>
  <c r="AG42" i="13"/>
  <c r="V42" i="5" s="1"/>
  <c r="AF48" i="13"/>
  <c r="O139" i="5"/>
  <c r="O107" i="5"/>
  <c r="O106" i="21" s="1"/>
  <c r="O28" i="5"/>
  <c r="O28" i="21" s="1"/>
  <c r="AE48" i="13"/>
  <c r="H48" i="5" s="1"/>
  <c r="H48" i="21" s="1"/>
  <c r="O120" i="5"/>
  <c r="V121" i="5"/>
  <c r="O133" i="5"/>
  <c r="O217" i="5"/>
  <c r="V33" i="5"/>
  <c r="V33" i="21" s="1"/>
  <c r="O14" i="5"/>
  <c r="O14" i="21" s="1"/>
  <c r="O191" i="5"/>
  <c r="V14" i="5"/>
  <c r="V14" i="21" s="1"/>
  <c r="V29" i="5"/>
  <c r="V29" i="21" s="1"/>
  <c r="AE138" i="13"/>
  <c r="H130" i="5" s="1"/>
  <c r="H129" i="21" s="1"/>
  <c r="AF134" i="13"/>
  <c r="AG134" i="13"/>
  <c r="O138" i="5"/>
  <c r="AG178" i="13"/>
  <c r="BT178" i="13"/>
  <c r="AF178" i="13"/>
  <c r="BS178" i="13"/>
  <c r="AE53" i="13"/>
  <c r="H53" i="5" s="1"/>
  <c r="H53" i="21" s="1"/>
  <c r="AF49" i="13"/>
  <c r="AF53" i="13"/>
  <c r="AE49" i="13"/>
  <c r="H49" i="5" s="1"/>
  <c r="AF52" i="13"/>
  <c r="AE44" i="13"/>
  <c r="H44" i="5" s="1"/>
  <c r="AE134" i="13"/>
  <c r="H126" i="5" s="1"/>
  <c r="H125" i="21" s="1"/>
  <c r="AE45" i="13"/>
  <c r="H45" i="5" s="1"/>
  <c r="AF45" i="13"/>
  <c r="AE50" i="13"/>
  <c r="H50" i="5" s="1"/>
  <c r="F199" i="5"/>
  <c r="AD66" i="13"/>
  <c r="AG60" i="13"/>
  <c r="AF60" i="13"/>
  <c r="AE41" i="13"/>
  <c r="H41" i="5" s="1"/>
  <c r="H41" i="21" s="1"/>
  <c r="AF41" i="13"/>
  <c r="AB200" i="13"/>
  <c r="AE42" i="13"/>
  <c r="H42" i="5" s="1"/>
  <c r="AG130" i="13"/>
  <c r="V122" i="5" s="1"/>
  <c r="AE130" i="13"/>
  <c r="AF130" i="13"/>
  <c r="O122" i="5" s="1"/>
  <c r="AC63" i="5"/>
  <c r="AF61" i="13"/>
  <c r="O60" i="5" s="1"/>
  <c r="AE126" i="13"/>
  <c r="H118" i="5" s="1"/>
  <c r="H118" i="21" s="1"/>
  <c r="AE56" i="13"/>
  <c r="AG58" i="13"/>
  <c r="AF58" i="13"/>
  <c r="AG61" i="13"/>
  <c r="AE54" i="13"/>
  <c r="H54" i="5" s="1"/>
  <c r="AG54" i="13"/>
  <c r="V54" i="5" s="1"/>
  <c r="AG52" i="13"/>
  <c r="AF50" i="13"/>
  <c r="AE43" i="13"/>
  <c r="H43" i="5" s="1"/>
  <c r="AF43" i="13"/>
  <c r="AE59" i="13"/>
  <c r="AG144" i="13"/>
  <c r="V136" i="5" s="1"/>
  <c r="V135" i="21" s="1"/>
  <c r="AG126" i="13"/>
  <c r="Z200" i="13"/>
  <c r="AF126" i="13"/>
  <c r="AF148" i="13"/>
  <c r="AG148" i="13"/>
  <c r="AE144" i="13"/>
  <c r="H136" i="5" s="1"/>
  <c r="H135" i="21" s="1"/>
  <c r="H132" i="5"/>
  <c r="H133" i="21" s="1"/>
  <c r="O132" i="5"/>
  <c r="AE148" i="13"/>
  <c r="H141" i="5" s="1"/>
  <c r="H142" i="21" s="1"/>
  <c r="AK175" i="13"/>
  <c r="AK197" i="13" s="1"/>
  <c r="AE177" i="13"/>
  <c r="H172" i="5" s="1"/>
  <c r="H172" i="21" s="1"/>
  <c r="AI175" i="13"/>
  <c r="AI197" i="13" s="1"/>
  <c r="AJ175" i="13"/>
  <c r="AJ197" i="13" s="1"/>
  <c r="AF177" i="13"/>
  <c r="V15" i="5"/>
  <c r="V15" i="21" s="1"/>
  <c r="AE10" i="13"/>
  <c r="H11" i="5" s="1"/>
  <c r="V24" i="5"/>
  <c r="V24" i="21" s="1"/>
  <c r="V26" i="5"/>
  <c r="V26" i="21" s="1"/>
  <c r="AE162" i="13"/>
  <c r="H157" i="5"/>
  <c r="AF104" i="13"/>
  <c r="AG104" i="13"/>
  <c r="AE104" i="13"/>
  <c r="AF16" i="13"/>
  <c r="AE30" i="13"/>
  <c r="H31" i="5" s="1"/>
  <c r="H31" i="21" s="1"/>
  <c r="AG63" i="13"/>
  <c r="V62" i="5"/>
  <c r="AE19" i="13"/>
  <c r="H20" i="5" s="1"/>
  <c r="H20" i="21" s="1"/>
  <c r="AG30" i="13"/>
  <c r="AG10" i="13"/>
  <c r="AE26" i="13"/>
  <c r="H27" i="5" s="1"/>
  <c r="H27" i="21" s="1"/>
  <c r="AF19" i="13"/>
  <c r="AG16" i="13"/>
  <c r="AE16" i="13"/>
  <c r="H17" i="5" s="1"/>
  <c r="H17" i="21" s="1"/>
  <c r="AG26" i="13"/>
  <c r="AF30" i="13"/>
  <c r="AG19" i="13"/>
  <c r="AF10" i="13"/>
  <c r="AF26" i="13"/>
  <c r="I39" i="11"/>
  <c r="M39" i="11" s="1"/>
  <c r="AF26" i="11" s="1"/>
  <c r="E39" i="11"/>
  <c r="K39" i="11" s="1"/>
  <c r="AD26" i="11" s="1"/>
  <c r="AD110" i="13"/>
  <c r="AE164" i="13"/>
  <c r="H159" i="5"/>
  <c r="AE160" i="13"/>
  <c r="H155" i="5"/>
  <c r="AE105" i="13"/>
  <c r="AF105" i="13"/>
  <c r="AG105" i="13"/>
  <c r="AF101" i="13"/>
  <c r="AE101" i="13"/>
  <c r="AG101" i="13"/>
  <c r="AE102" i="13"/>
  <c r="H97" i="5" s="1"/>
  <c r="AG102" i="13"/>
  <c r="AF102" i="13"/>
  <c r="V197" i="5"/>
  <c r="I11" i="21"/>
  <c r="H212" i="5"/>
  <c r="H213" i="21" s="1"/>
  <c r="H45" i="11" l="1"/>
  <c r="I45" i="11" s="1"/>
  <c r="M45" i="11" s="1"/>
  <c r="AF32" i="11" s="1"/>
  <c r="BS257" i="13"/>
  <c r="BS258" i="13" s="1"/>
  <c r="BR257" i="13"/>
  <c r="BR258" i="13" s="1"/>
  <c r="L7" i="5" s="1"/>
  <c r="J7" i="21" s="1"/>
  <c r="I226" i="5"/>
  <c r="I226" i="21" s="1"/>
  <c r="H220" i="21"/>
  <c r="H224" i="21"/>
  <c r="AF231" i="13"/>
  <c r="O219" i="5"/>
  <c r="O219" i="21" s="1"/>
  <c r="AG231" i="13"/>
  <c r="V226" i="5" s="1"/>
  <c r="V226" i="21" s="1"/>
  <c r="V223" i="5"/>
  <c r="V223" i="21" s="1"/>
  <c r="AE231" i="13"/>
  <c r="H226" i="5" s="1"/>
  <c r="H226" i="21" s="1"/>
  <c r="V159" i="5"/>
  <c r="I105" i="21"/>
  <c r="V190" i="21"/>
  <c r="V50" i="5"/>
  <c r="H43" i="21"/>
  <c r="H45" i="21"/>
  <c r="H121" i="21"/>
  <c r="H122" i="5"/>
  <c r="H123" i="21" s="1"/>
  <c r="O143" i="21"/>
  <c r="AE155" i="13"/>
  <c r="H149" i="5"/>
  <c r="O151" i="21"/>
  <c r="O149" i="5"/>
  <c r="O150" i="21" s="1"/>
  <c r="O224" i="21"/>
  <c r="H49" i="21"/>
  <c r="O225" i="21"/>
  <c r="O159" i="5"/>
  <c r="V191" i="21"/>
  <c r="H191" i="21"/>
  <c r="H50" i="21"/>
  <c r="V144" i="21"/>
  <c r="V153" i="21"/>
  <c r="O152" i="21"/>
  <c r="O153" i="21"/>
  <c r="H185" i="21"/>
  <c r="O144" i="21"/>
  <c r="H42" i="21"/>
  <c r="H44" i="21"/>
  <c r="H54" i="21"/>
  <c r="O223" i="21"/>
  <c r="F206" i="21"/>
  <c r="F207" i="21"/>
  <c r="AF207" i="21" s="1"/>
  <c r="V143" i="21"/>
  <c r="W47" i="21"/>
  <c r="W48" i="21"/>
  <c r="H190" i="21"/>
  <c r="V224" i="21"/>
  <c r="I154" i="21"/>
  <c r="W49" i="21"/>
  <c r="W50" i="21"/>
  <c r="D37" i="11"/>
  <c r="E37" i="11" s="1"/>
  <c r="K37" i="11" s="1"/>
  <c r="AD24" i="11" s="1"/>
  <c r="AC41" i="11"/>
  <c r="AE41" i="11"/>
  <c r="V106" i="21"/>
  <c r="BK305" i="13"/>
  <c r="AG46" i="13"/>
  <c r="V151" i="5"/>
  <c r="V151" i="21" s="1"/>
  <c r="W63" i="5"/>
  <c r="W63" i="21" s="1"/>
  <c r="F37" i="11"/>
  <c r="G37" i="11" s="1"/>
  <c r="L37" i="11" s="1"/>
  <c r="AE24" i="11" s="1"/>
  <c r="BE49" i="13"/>
  <c r="I49" i="5" s="1"/>
  <c r="BI305" i="13"/>
  <c r="BH49" i="13"/>
  <c r="P49" i="5" s="1"/>
  <c r="BJ305" i="13"/>
  <c r="I47" i="5"/>
  <c r="I236" i="5"/>
  <c r="O132" i="21"/>
  <c r="H130" i="21"/>
  <c r="H126" i="21"/>
  <c r="V129" i="21"/>
  <c r="H136" i="21"/>
  <c r="V136" i="21"/>
  <c r="H132" i="21"/>
  <c r="O107" i="21"/>
  <c r="V107" i="21"/>
  <c r="O216" i="21"/>
  <c r="F199" i="21"/>
  <c r="AF199" i="21" s="1"/>
  <c r="F198" i="21"/>
  <c r="AF198" i="21" s="1"/>
  <c r="AC198" i="5"/>
  <c r="F200" i="21"/>
  <c r="AF200" i="21" s="1"/>
  <c r="V215" i="21"/>
  <c r="V165" i="21"/>
  <c r="H177" i="21"/>
  <c r="V219" i="21"/>
  <c r="O220" i="21"/>
  <c r="O221" i="21"/>
  <c r="AG160" i="13"/>
  <c r="O222" i="21"/>
  <c r="V220" i="21"/>
  <c r="O212" i="21"/>
  <c r="BT258" i="13"/>
  <c r="V213" i="21"/>
  <c r="V108" i="21"/>
  <c r="O110" i="21"/>
  <c r="V138" i="21"/>
  <c r="I88" i="21"/>
  <c r="I89" i="21"/>
  <c r="V128" i="21"/>
  <c r="V130" i="21"/>
  <c r="O215" i="21"/>
  <c r="H182" i="21"/>
  <c r="H168" i="21"/>
  <c r="H139" i="21"/>
  <c r="H141" i="21"/>
  <c r="O214" i="21"/>
  <c r="V217" i="21"/>
  <c r="I150" i="21"/>
  <c r="V180" i="21"/>
  <c r="P88" i="21"/>
  <c r="P89" i="21"/>
  <c r="H131" i="21"/>
  <c r="O108" i="21"/>
  <c r="V176" i="21"/>
  <c r="O133" i="21"/>
  <c r="V120" i="21"/>
  <c r="H169" i="21"/>
  <c r="H119" i="21"/>
  <c r="O138" i="21"/>
  <c r="O120" i="21"/>
  <c r="H181" i="21"/>
  <c r="O134" i="21"/>
  <c r="O213" i="21"/>
  <c r="V137" i="21"/>
  <c r="O218" i="21"/>
  <c r="O176" i="21"/>
  <c r="O128" i="21"/>
  <c r="V218" i="21"/>
  <c r="V222" i="21"/>
  <c r="V105" i="21"/>
  <c r="H212" i="21"/>
  <c r="O105" i="21"/>
  <c r="H173" i="21"/>
  <c r="H176" i="21"/>
  <c r="O140" i="21"/>
  <c r="V221" i="21"/>
  <c r="V150" i="21"/>
  <c r="O124" i="21"/>
  <c r="O217" i="21"/>
  <c r="V110" i="21"/>
  <c r="H127" i="21"/>
  <c r="V177" i="21"/>
  <c r="V214" i="21"/>
  <c r="V109" i="21"/>
  <c r="O109" i="21"/>
  <c r="V216" i="21"/>
  <c r="H137" i="21"/>
  <c r="V131" i="21"/>
  <c r="H151" i="21"/>
  <c r="AG155" i="13"/>
  <c r="V148" i="5" s="1"/>
  <c r="AC206" i="5"/>
  <c r="F203" i="21"/>
  <c r="AF203" i="21" s="1"/>
  <c r="AC199" i="5"/>
  <c r="Z37" i="21"/>
  <c r="V18" i="21"/>
  <c r="H62" i="5"/>
  <c r="O62" i="5"/>
  <c r="J11" i="21"/>
  <c r="H11" i="21"/>
  <c r="AG183" i="13"/>
  <c r="V172" i="5"/>
  <c r="V172" i="21" s="1"/>
  <c r="AE179" i="13"/>
  <c r="H174" i="5" s="1"/>
  <c r="O157" i="5"/>
  <c r="V157" i="5"/>
  <c r="O155" i="5"/>
  <c r="I24" i="3"/>
  <c r="O186" i="5"/>
  <c r="O186" i="21" s="1"/>
  <c r="AF155" i="13"/>
  <c r="O148" i="5" s="1"/>
  <c r="AE192" i="13"/>
  <c r="H187" i="5" s="1"/>
  <c r="H186" i="5"/>
  <c r="H186" i="21" s="1"/>
  <c r="O52" i="5"/>
  <c r="O57" i="5"/>
  <c r="O57" i="21" s="1"/>
  <c r="AG192" i="13"/>
  <c r="V187" i="5" s="1"/>
  <c r="O173" i="5"/>
  <c r="AB44" i="11"/>
  <c r="AC44" i="11"/>
  <c r="AD44" i="11"/>
  <c r="AE44" i="11"/>
  <c r="O190" i="5"/>
  <c r="O190" i="21" s="1"/>
  <c r="O59" i="5"/>
  <c r="O60" i="21" s="1"/>
  <c r="O177" i="5"/>
  <c r="H183" i="5"/>
  <c r="H180" i="21" s="1"/>
  <c r="AG179" i="13"/>
  <c r="V174" i="5" s="1"/>
  <c r="AF183" i="13"/>
  <c r="AE171" i="13"/>
  <c r="H166" i="5" s="1"/>
  <c r="H163" i="21" s="1"/>
  <c r="AE183" i="13"/>
  <c r="H178" i="5" s="1"/>
  <c r="AG187" i="13"/>
  <c r="V182" i="5" s="1"/>
  <c r="O168" i="5"/>
  <c r="O183" i="5"/>
  <c r="O182" i="5"/>
  <c r="V126" i="5"/>
  <c r="V126" i="21" s="1"/>
  <c r="V186" i="5"/>
  <c r="V186" i="21" s="1"/>
  <c r="P153" i="5"/>
  <c r="W153" i="5"/>
  <c r="O49" i="5"/>
  <c r="O180" i="5"/>
  <c r="O43" i="5"/>
  <c r="O184" i="5"/>
  <c r="O121" i="21"/>
  <c r="O181" i="5"/>
  <c r="O164" i="5"/>
  <c r="O169" i="5"/>
  <c r="O118" i="5"/>
  <c r="O118" i="21" s="1"/>
  <c r="V184" i="5"/>
  <c r="V27" i="5"/>
  <c r="V27" i="21" s="1"/>
  <c r="O45" i="5"/>
  <c r="O126" i="5"/>
  <c r="O126" i="21" s="1"/>
  <c r="O130" i="5"/>
  <c r="O129" i="21" s="1"/>
  <c r="AF171" i="13"/>
  <c r="O166" i="5" s="1"/>
  <c r="AG171" i="13"/>
  <c r="V166" i="5" s="1"/>
  <c r="AG169" i="13"/>
  <c r="V163" i="5" s="1"/>
  <c r="V164" i="21" s="1"/>
  <c r="H164" i="5"/>
  <c r="H165" i="21" s="1"/>
  <c r="AB214" i="13"/>
  <c r="AD206" i="13" s="1"/>
  <c r="F195" i="5"/>
  <c r="F195" i="21" s="1"/>
  <c r="AF195" i="21" s="1"/>
  <c r="O20" i="5"/>
  <c r="O20" i="21" s="1"/>
  <c r="V141" i="5"/>
  <c r="V139" i="21" s="1"/>
  <c r="V52" i="5"/>
  <c r="V173" i="5"/>
  <c r="V169" i="21" s="1"/>
  <c r="AG39" i="13"/>
  <c r="V31" i="5"/>
  <c r="V31" i="21" s="1"/>
  <c r="O141" i="5"/>
  <c r="O139" i="21" s="1"/>
  <c r="O226" i="5"/>
  <c r="O226" i="21" s="1"/>
  <c r="O174" i="5"/>
  <c r="V97" i="5"/>
  <c r="V17" i="5"/>
  <c r="V17" i="21" s="1"/>
  <c r="O27" i="5"/>
  <c r="O27" i="21" s="1"/>
  <c r="V43" i="5"/>
  <c r="V43" i="21" s="1"/>
  <c r="O54" i="5"/>
  <c r="V20" i="5"/>
  <c r="V20" i="21" s="1"/>
  <c r="O187" i="5"/>
  <c r="O31" i="5"/>
  <c r="O31" i="21" s="1"/>
  <c r="V60" i="5"/>
  <c r="V122" i="21"/>
  <c r="V59" i="5"/>
  <c r="O97" i="5"/>
  <c r="V118" i="5"/>
  <c r="V118" i="21" s="1"/>
  <c r="V57" i="5"/>
  <c r="V57" i="21" s="1"/>
  <c r="O53" i="5"/>
  <c r="O17" i="5"/>
  <c r="O17" i="21" s="1"/>
  <c r="O44" i="5"/>
  <c r="V45" i="5"/>
  <c r="V45" i="21" s="1"/>
  <c r="O48" i="5"/>
  <c r="O48" i="21" s="1"/>
  <c r="V48" i="5"/>
  <c r="V48" i="21" s="1"/>
  <c r="V53" i="5"/>
  <c r="V11" i="5"/>
  <c r="V11" i="21" s="1"/>
  <c r="O50" i="5"/>
  <c r="O50" i="21" s="1"/>
  <c r="O41" i="5"/>
  <c r="O41" i="21" s="1"/>
  <c r="O136" i="5"/>
  <c r="O135" i="21" s="1"/>
  <c r="V41" i="5"/>
  <c r="V41" i="21" s="1"/>
  <c r="V49" i="5"/>
  <c r="AF51" i="13"/>
  <c r="AG175" i="13"/>
  <c r="AE46" i="13"/>
  <c r="AF46" i="13"/>
  <c r="F86" i="16"/>
  <c r="I86" i="16" s="1"/>
  <c r="AE39" i="13"/>
  <c r="H38" i="5" s="1"/>
  <c r="H38" i="21" s="1"/>
  <c r="AF39" i="13"/>
  <c r="AF59" i="13"/>
  <c r="AG56" i="13"/>
  <c r="AF56" i="13"/>
  <c r="AE51" i="13"/>
  <c r="AG59" i="13"/>
  <c r="AG51" i="13"/>
  <c r="O42" i="5"/>
  <c r="AG152" i="13"/>
  <c r="AF152" i="13"/>
  <c r="AE152" i="13"/>
  <c r="H145" i="5" s="1"/>
  <c r="H145" i="21" s="1"/>
  <c r="H43" i="11"/>
  <c r="I43" i="11" s="1"/>
  <c r="M43" i="11" s="1"/>
  <c r="AF30" i="11" s="1"/>
  <c r="W192" i="5"/>
  <c r="W192" i="21" s="1"/>
  <c r="F43" i="11"/>
  <c r="G43" i="11" s="1"/>
  <c r="L43" i="11" s="1"/>
  <c r="AE30" i="11" s="1"/>
  <c r="P192" i="5"/>
  <c r="P192" i="21" s="1"/>
  <c r="AE175" i="13"/>
  <c r="I192" i="5"/>
  <c r="I192" i="21" s="1"/>
  <c r="D43" i="11"/>
  <c r="E43" i="11" s="1"/>
  <c r="K43" i="11" s="1"/>
  <c r="AD30" i="11" s="1"/>
  <c r="O172" i="5"/>
  <c r="O172" i="21" s="1"/>
  <c r="AF175" i="13"/>
  <c r="J65" i="21"/>
  <c r="AG36" i="13"/>
  <c r="V35" i="5" s="1"/>
  <c r="AE36" i="13"/>
  <c r="H35" i="5" s="1"/>
  <c r="H35" i="21" s="1"/>
  <c r="AF36" i="13"/>
  <c r="O11" i="5"/>
  <c r="O11" i="21" s="1"/>
  <c r="V100" i="5"/>
  <c r="V100" i="21" s="1"/>
  <c r="AG103" i="13"/>
  <c r="V96" i="5"/>
  <c r="AG100" i="13"/>
  <c r="O100" i="5"/>
  <c r="O100" i="21" s="1"/>
  <c r="AF103" i="13"/>
  <c r="H96" i="5"/>
  <c r="AE100" i="13"/>
  <c r="H100" i="5"/>
  <c r="H100" i="21" s="1"/>
  <c r="AE103" i="13"/>
  <c r="H98" i="5" s="1"/>
  <c r="AF100" i="13"/>
  <c r="O96" i="5"/>
  <c r="O149" i="21" l="1"/>
  <c r="H122" i="21"/>
  <c r="V53" i="21"/>
  <c r="O54" i="21"/>
  <c r="V49" i="21"/>
  <c r="O53" i="21"/>
  <c r="H175" i="21"/>
  <c r="O44" i="21"/>
  <c r="O42" i="21"/>
  <c r="I49" i="21"/>
  <c r="I50" i="21"/>
  <c r="V187" i="21"/>
  <c r="V188" i="21"/>
  <c r="V44" i="21"/>
  <c r="O43" i="21"/>
  <c r="O187" i="21"/>
  <c r="O188" i="21"/>
  <c r="O49" i="21"/>
  <c r="O184" i="21"/>
  <c r="O185" i="21"/>
  <c r="V60" i="21"/>
  <c r="O45" i="21"/>
  <c r="W153" i="21"/>
  <c r="W154" i="21"/>
  <c r="V42" i="21"/>
  <c r="P153" i="21"/>
  <c r="P154" i="21"/>
  <c r="H187" i="21"/>
  <c r="H188" i="21"/>
  <c r="V50" i="21"/>
  <c r="V184" i="21"/>
  <c r="V185" i="21"/>
  <c r="O191" i="21"/>
  <c r="H184" i="21"/>
  <c r="I47" i="21"/>
  <c r="I48" i="21"/>
  <c r="P49" i="21"/>
  <c r="P50" i="21"/>
  <c r="V54" i="21"/>
  <c r="V152" i="21"/>
  <c r="D13" i="11"/>
  <c r="K49" i="11" s="1"/>
  <c r="BS300" i="13"/>
  <c r="AD42" i="11" s="1"/>
  <c r="BT300" i="13"/>
  <c r="AE42" i="11" s="1"/>
  <c r="BR300" i="13"/>
  <c r="AC42" i="11" s="1"/>
  <c r="O178" i="5"/>
  <c r="O178" i="21" s="1"/>
  <c r="V178" i="5"/>
  <c r="V178" i="21" s="1"/>
  <c r="O122" i="21"/>
  <c r="O130" i="21"/>
  <c r="O136" i="21"/>
  <c r="V183" i="21"/>
  <c r="F196" i="21"/>
  <c r="AF196" i="21" s="1"/>
  <c r="H179" i="21"/>
  <c r="V142" i="21"/>
  <c r="O165" i="21"/>
  <c r="O175" i="21"/>
  <c r="V175" i="21"/>
  <c r="O142" i="21"/>
  <c r="V181" i="21"/>
  <c r="V149" i="21"/>
  <c r="O181" i="21"/>
  <c r="Z7" i="5"/>
  <c r="Z7" i="21" s="1"/>
  <c r="H13" i="11"/>
  <c r="M49" i="11" s="1"/>
  <c r="S7" i="5"/>
  <c r="S7" i="21" s="1"/>
  <c r="F13" i="11"/>
  <c r="L49" i="11" s="1"/>
  <c r="O180" i="21"/>
  <c r="V163" i="21"/>
  <c r="V97" i="21"/>
  <c r="O168" i="21"/>
  <c r="V125" i="21"/>
  <c r="V127" i="21"/>
  <c r="O183" i="21"/>
  <c r="V166" i="21"/>
  <c r="H164" i="21"/>
  <c r="O166" i="21"/>
  <c r="O182" i="21"/>
  <c r="V141" i="21"/>
  <c r="H97" i="21"/>
  <c r="O137" i="21"/>
  <c r="V173" i="21"/>
  <c r="V182" i="21"/>
  <c r="O119" i="21"/>
  <c r="O169" i="21"/>
  <c r="H174" i="21"/>
  <c r="V148" i="21"/>
  <c r="O173" i="21"/>
  <c r="O131" i="21"/>
  <c r="V168" i="21"/>
  <c r="H178" i="21"/>
  <c r="O97" i="21"/>
  <c r="O177" i="21"/>
  <c r="O123" i="21"/>
  <c r="H166" i="21"/>
  <c r="H98" i="21"/>
  <c r="H99" i="21"/>
  <c r="O125" i="21"/>
  <c r="O127" i="21"/>
  <c r="V174" i="21"/>
  <c r="O148" i="21"/>
  <c r="V119" i="21"/>
  <c r="V121" i="21"/>
  <c r="V123" i="21"/>
  <c r="W150" i="21"/>
  <c r="H183" i="21"/>
  <c r="P150" i="21"/>
  <c r="O174" i="21"/>
  <c r="H150" i="21"/>
  <c r="O141" i="21"/>
  <c r="AC195" i="5"/>
  <c r="AF192" i="21"/>
  <c r="O163" i="5"/>
  <c r="O164" i="21" s="1"/>
  <c r="V145" i="5"/>
  <c r="V145" i="21" s="1"/>
  <c r="O98" i="5"/>
  <c r="AD205" i="13"/>
  <c r="AF205" i="13" s="1"/>
  <c r="F209" i="5"/>
  <c r="AC209" i="5" s="1"/>
  <c r="AD207" i="13"/>
  <c r="C44" i="11"/>
  <c r="AI200" i="13"/>
  <c r="AI214" i="13" s="1"/>
  <c r="I209" i="5" s="1"/>
  <c r="I209" i="21" s="1"/>
  <c r="AG197" i="13"/>
  <c r="AJ200" i="13"/>
  <c r="AJ214" i="13" s="1"/>
  <c r="P209" i="5" s="1"/>
  <c r="P209" i="21" s="1"/>
  <c r="AD209" i="13"/>
  <c r="AF209" i="13" s="1"/>
  <c r="AD204" i="13"/>
  <c r="AK200" i="13"/>
  <c r="AK214" i="13" s="1"/>
  <c r="W209" i="5" s="1"/>
  <c r="W209" i="21" s="1"/>
  <c r="AD200" i="13"/>
  <c r="AD201" i="13"/>
  <c r="AF201" i="13" s="1"/>
  <c r="AD213" i="13"/>
  <c r="AG213" i="13" s="1"/>
  <c r="AD211" i="13"/>
  <c r="AD210" i="13"/>
  <c r="AF210" i="13" s="1"/>
  <c r="AD212" i="13"/>
  <c r="AE212" i="13" s="1"/>
  <c r="H207" i="5" s="1"/>
  <c r="AD208" i="13"/>
  <c r="AD203" i="13"/>
  <c r="AG203" i="13" s="1"/>
  <c r="AD202" i="13"/>
  <c r="AE202" i="13" s="1"/>
  <c r="Z65" i="21"/>
  <c r="V170" i="5"/>
  <c r="V167" i="21" s="1"/>
  <c r="V98" i="5"/>
  <c r="F91" i="16"/>
  <c r="I91" i="16" s="1"/>
  <c r="O38" i="5"/>
  <c r="O38" i="21" s="1"/>
  <c r="V35" i="21"/>
  <c r="V38" i="5"/>
  <c r="V38" i="21" s="1"/>
  <c r="O145" i="5"/>
  <c r="O145" i="21" s="1"/>
  <c r="O35" i="5"/>
  <c r="O35" i="21" s="1"/>
  <c r="AG206" i="13"/>
  <c r="V202" i="5" s="1"/>
  <c r="AE206" i="13"/>
  <c r="H202" i="5" s="1"/>
  <c r="AF206" i="13"/>
  <c r="H170" i="5"/>
  <c r="AE197" i="13"/>
  <c r="H192" i="5" s="1"/>
  <c r="H192" i="21" s="1"/>
  <c r="O170" i="5"/>
  <c r="O167" i="21" s="1"/>
  <c r="AF197" i="13"/>
  <c r="O192" i="5" s="1"/>
  <c r="O192" i="21" s="1"/>
  <c r="AF110" i="13"/>
  <c r="O95" i="5"/>
  <c r="O95" i="21" s="1"/>
  <c r="AE110" i="13"/>
  <c r="H101" i="5" s="1"/>
  <c r="H101" i="21" s="1"/>
  <c r="H95" i="5"/>
  <c r="H95" i="21" s="1"/>
  <c r="AG110" i="13"/>
  <c r="V95" i="5"/>
  <c r="V95" i="21" s="1"/>
  <c r="D30" i="16"/>
  <c r="V179" i="21" l="1"/>
  <c r="O179" i="21"/>
  <c r="AF210" i="21"/>
  <c r="F209" i="21"/>
  <c r="AF209" i="21" s="1"/>
  <c r="V171" i="21"/>
  <c r="O171" i="21"/>
  <c r="H167" i="21"/>
  <c r="H171" i="21"/>
  <c r="V96" i="21"/>
  <c r="AF206" i="21"/>
  <c r="O98" i="21"/>
  <c r="O99" i="21"/>
  <c r="V170" i="21"/>
  <c r="V98" i="21"/>
  <c r="V99" i="21"/>
  <c r="O96" i="21"/>
  <c r="O163" i="21"/>
  <c r="H96" i="21"/>
  <c r="O170" i="21"/>
  <c r="H170" i="21"/>
  <c r="AE213" i="13"/>
  <c r="H208" i="5" s="1"/>
  <c r="H208" i="21" s="1"/>
  <c r="AF213" i="13"/>
  <c r="AG201" i="13"/>
  <c r="V196" i="5" s="1"/>
  <c r="AG205" i="13"/>
  <c r="AG204" i="13" s="1"/>
  <c r="V200" i="5" s="1"/>
  <c r="AE205" i="13"/>
  <c r="AE204" i="13" s="1"/>
  <c r="H200" i="5" s="1"/>
  <c r="AG202" i="13"/>
  <c r="V198" i="5" s="1"/>
  <c r="AF202" i="13"/>
  <c r="O198" i="5" s="1"/>
  <c r="AF203" i="13"/>
  <c r="O199" i="5" s="1"/>
  <c r="AE203" i="13"/>
  <c r="H199" i="5" s="1"/>
  <c r="O205" i="5"/>
  <c r="AG210" i="13"/>
  <c r="V205" i="5" s="1"/>
  <c r="AE210" i="13"/>
  <c r="H205" i="5" s="1"/>
  <c r="AG209" i="13"/>
  <c r="AE209" i="13"/>
  <c r="H204" i="5" s="1"/>
  <c r="V199" i="5"/>
  <c r="O196" i="5"/>
  <c r="AD214" i="13"/>
  <c r="AE201" i="13"/>
  <c r="H196" i="5" s="1"/>
  <c r="AF212" i="13"/>
  <c r="AG212" i="13"/>
  <c r="V207" i="5" s="1"/>
  <c r="O202" i="5"/>
  <c r="V192" i="5"/>
  <c r="V192" i="21" s="1"/>
  <c r="O101" i="5"/>
  <c r="O101" i="21" s="1"/>
  <c r="V101" i="5"/>
  <c r="V101" i="21" s="1"/>
  <c r="AF208" i="13"/>
  <c r="O204" i="5"/>
  <c r="H198" i="5"/>
  <c r="O208" i="5"/>
  <c r="O201" i="5"/>
  <c r="AF204" i="13"/>
  <c r="O200" i="5" s="1"/>
  <c r="V208" i="5"/>
  <c r="F30" i="16"/>
  <c r="F73" i="5"/>
  <c r="V208" i="21" l="1"/>
  <c r="H205" i="21"/>
  <c r="O197" i="21"/>
  <c r="O205" i="21"/>
  <c r="H197" i="21"/>
  <c r="V197" i="21"/>
  <c r="O201" i="21"/>
  <c r="O198" i="21"/>
  <c r="V199" i="21"/>
  <c r="O202" i="21"/>
  <c r="O199" i="21"/>
  <c r="H199" i="21"/>
  <c r="AE211" i="13"/>
  <c r="F73" i="21"/>
  <c r="AF73" i="21" s="1"/>
  <c r="F74" i="21"/>
  <c r="AF74" i="21" s="1"/>
  <c r="H201" i="5"/>
  <c r="H198" i="21" s="1"/>
  <c r="V201" i="5"/>
  <c r="V198" i="21" s="1"/>
  <c r="AF211" i="13"/>
  <c r="AG200" i="13"/>
  <c r="AE200" i="13"/>
  <c r="H195" i="5" s="1"/>
  <c r="AF200" i="13"/>
  <c r="AE208" i="13"/>
  <c r="AG208" i="13"/>
  <c r="V204" i="5"/>
  <c r="V205" i="21" s="1"/>
  <c r="AG211" i="13"/>
  <c r="O207" i="5"/>
  <c r="O208" i="21" s="1"/>
  <c r="O195" i="5"/>
  <c r="V195" i="5"/>
  <c r="AC73" i="5"/>
  <c r="I30" i="16"/>
  <c r="D31" i="16"/>
  <c r="O196" i="21" l="1"/>
  <c r="V196" i="21"/>
  <c r="H202" i="21"/>
  <c r="H196" i="21"/>
  <c r="V202" i="21"/>
  <c r="V201" i="21"/>
  <c r="V195" i="21"/>
  <c r="H195" i="21"/>
  <c r="O195" i="21"/>
  <c r="H201" i="21"/>
  <c r="AF214" i="13"/>
  <c r="AG214" i="13"/>
  <c r="V209" i="5" s="1"/>
  <c r="V209" i="21" s="1"/>
  <c r="D33" i="16"/>
  <c r="F33" i="16" l="1"/>
  <c r="F80" i="5"/>
  <c r="F80" i="21" l="1"/>
  <c r="AF80" i="21" s="1"/>
  <c r="F81" i="21"/>
  <c r="AF81" i="21" s="1"/>
  <c r="AC80" i="5"/>
  <c r="I33" i="16"/>
  <c r="D34" i="16"/>
  <c r="F34" i="16" l="1"/>
  <c r="F83" i="5"/>
  <c r="F83" i="21" l="1"/>
  <c r="AF83" i="21" s="1"/>
  <c r="F84" i="21"/>
  <c r="AF84" i="21" s="1"/>
  <c r="AC83" i="5"/>
  <c r="I34" i="16"/>
  <c r="D35" i="16"/>
  <c r="AA97" i="13" l="1"/>
  <c r="AA259" i="13" s="1"/>
  <c r="F87" i="5"/>
  <c r="F87" i="21" l="1"/>
  <c r="AF87" i="21" s="1"/>
  <c r="F88" i="21"/>
  <c r="AF88" i="21" s="1"/>
  <c r="F35" i="16"/>
  <c r="I35" i="16" s="1"/>
  <c r="AC87" i="5"/>
  <c r="T97" i="13"/>
  <c r="D40" i="16" s="1"/>
  <c r="D36" i="16" l="1"/>
  <c r="F36" i="16" l="1"/>
  <c r="F90" i="5"/>
  <c r="F90" i="21" l="1"/>
  <c r="AF90" i="21" s="1"/>
  <c r="F91" i="21"/>
  <c r="AF91" i="21" s="1"/>
  <c r="AC90" i="5"/>
  <c r="I36" i="16"/>
  <c r="T123" i="13" l="1"/>
  <c r="D55" i="16"/>
  <c r="D56" i="16" l="1"/>
  <c r="F113" i="5"/>
  <c r="F113" i="21" l="1"/>
  <c r="AF113" i="21" s="1"/>
  <c r="F114" i="21"/>
  <c r="AC113" i="5"/>
  <c r="F112" i="21"/>
  <c r="AF112" i="21" s="1"/>
  <c r="F55" i="16"/>
  <c r="I55" i="16" s="1"/>
  <c r="H40" i="11"/>
  <c r="H107" i="5"/>
  <c r="H109" i="5"/>
  <c r="H109" i="21" s="1"/>
  <c r="F115" i="5"/>
  <c r="F115" i="21" s="1"/>
  <c r="AF115" i="21" s="1"/>
  <c r="F40" i="11"/>
  <c r="H106" i="21" l="1"/>
  <c r="H107" i="21"/>
  <c r="H108" i="21"/>
  <c r="H110" i="21"/>
  <c r="AC115" i="5"/>
  <c r="AF114" i="21"/>
  <c r="F56" i="16"/>
  <c r="I56" i="16" s="1"/>
  <c r="G40" i="11"/>
  <c r="L40" i="11" s="1"/>
  <c r="D40" i="11"/>
  <c r="I115" i="5"/>
  <c r="I115" i="21" s="1"/>
  <c r="I40" i="11"/>
  <c r="M40" i="11" s="1"/>
  <c r="AE27" i="11" l="1"/>
  <c r="AF27" i="11"/>
  <c r="H104" i="5"/>
  <c r="E40" i="11"/>
  <c r="K40" i="11" s="1"/>
  <c r="H104" i="21" l="1"/>
  <c r="H105" i="21"/>
  <c r="AD27" i="11"/>
  <c r="D70" i="16" l="1"/>
  <c r="F154" i="5" l="1"/>
  <c r="F155" i="21" s="1"/>
  <c r="F70" i="16"/>
  <c r="F154" i="21" l="1"/>
  <c r="AF154" i="21" s="1"/>
  <c r="AC154" i="5"/>
  <c r="AF151" i="21"/>
  <c r="I70" i="16"/>
  <c r="D71" i="16"/>
  <c r="T258" i="13" l="1"/>
  <c r="F30" i="3" s="1"/>
  <c r="D72" i="16"/>
  <c r="F158" i="5" l="1"/>
  <c r="F71" i="16"/>
  <c r="F158" i="21" l="1"/>
  <c r="AF158" i="21" s="1"/>
  <c r="F159" i="21"/>
  <c r="AF159" i="21" s="1"/>
  <c r="AC158" i="5"/>
  <c r="AF155" i="21"/>
  <c r="F42" i="11"/>
  <c r="I71" i="16"/>
  <c r="F72" i="16"/>
  <c r="I72" i="16" s="1"/>
  <c r="H42" i="11"/>
  <c r="F160" i="5"/>
  <c r="F160" i="21" s="1"/>
  <c r="AF160" i="21" l="1"/>
  <c r="AF161" i="21"/>
  <c r="AC160" i="5"/>
  <c r="AF157" i="21"/>
  <c r="I42" i="11"/>
  <c r="M42" i="11" s="1"/>
  <c r="D42" i="11"/>
  <c r="I160" i="5"/>
  <c r="I160" i="21" s="1"/>
  <c r="G42" i="11"/>
  <c r="L42" i="11" s="1"/>
  <c r="AE29" i="11" l="1"/>
  <c r="AF29" i="11"/>
  <c r="H148" i="5"/>
  <c r="H149" i="21" s="1"/>
  <c r="E42" i="11"/>
  <c r="K42" i="11" s="1"/>
  <c r="H148" i="21" l="1"/>
  <c r="AD29" i="11"/>
  <c r="F258" i="13"/>
  <c r="H46" i="5" l="1"/>
  <c r="O46" i="5"/>
  <c r="V46" i="5"/>
  <c r="H51" i="5"/>
  <c r="V51" i="5"/>
  <c r="O51" i="5"/>
  <c r="H55" i="5"/>
  <c r="O55" i="5"/>
  <c r="V55" i="5"/>
  <c r="H58" i="5"/>
  <c r="V58" i="5"/>
  <c r="O58" i="5"/>
  <c r="AE66" i="13"/>
  <c r="H61" i="5"/>
  <c r="O58" i="21" l="1"/>
  <c r="O59" i="21"/>
  <c r="V58" i="21"/>
  <c r="V59" i="21"/>
  <c r="H58" i="21"/>
  <c r="H59" i="21"/>
  <c r="V55" i="21"/>
  <c r="V56" i="21"/>
  <c r="O55" i="21"/>
  <c r="O56" i="21"/>
  <c r="H55" i="21"/>
  <c r="H56" i="21"/>
  <c r="O51" i="21"/>
  <c r="O52" i="21"/>
  <c r="V51" i="21"/>
  <c r="V52" i="21"/>
  <c r="H51" i="21"/>
  <c r="H52" i="21"/>
  <c r="V46" i="21"/>
  <c r="V47" i="21"/>
  <c r="O46" i="21"/>
  <c r="O47" i="21"/>
  <c r="H61" i="21"/>
  <c r="H62" i="21"/>
  <c r="H46" i="21"/>
  <c r="H47" i="21"/>
  <c r="Q65" i="21"/>
  <c r="X65" i="21"/>
  <c r="H63" i="5"/>
  <c r="H63" i="21" s="1"/>
  <c r="AG66" i="13"/>
  <c r="V61" i="5"/>
  <c r="AF66" i="13"/>
  <c r="O61" i="5"/>
  <c r="O61" i="21" l="1"/>
  <c r="O62" i="21"/>
  <c r="V61" i="21"/>
  <c r="V62" i="21"/>
  <c r="V63" i="5"/>
  <c r="V63" i="21" s="1"/>
  <c r="O63" i="5"/>
  <c r="O63" i="21" s="1"/>
  <c r="AE123" i="13"/>
  <c r="H115" i="5" s="1"/>
  <c r="H115" i="21" s="1"/>
  <c r="H113" i="5"/>
  <c r="H114" i="21" s="1"/>
  <c r="H112" i="21" l="1"/>
  <c r="H113" i="21"/>
  <c r="AF123" i="13"/>
  <c r="O115" i="5" s="1"/>
  <c r="O115" i="21" s="1"/>
  <c r="O113" i="5"/>
  <c r="O114" i="21" s="1"/>
  <c r="AG123" i="13"/>
  <c r="V115" i="5" s="1"/>
  <c r="V115" i="21" s="1"/>
  <c r="V113" i="5"/>
  <c r="V114" i="21" s="1"/>
  <c r="H154" i="5"/>
  <c r="H156" i="5"/>
  <c r="AE166" i="13"/>
  <c r="H160" i="5" s="1"/>
  <c r="H160" i="21" s="1"/>
  <c r="H158" i="5"/>
  <c r="H158" i="21" l="1"/>
  <c r="H159" i="21"/>
  <c r="H156" i="21"/>
  <c r="H157" i="21"/>
  <c r="H154" i="21"/>
  <c r="H155" i="21"/>
  <c r="V112" i="21"/>
  <c r="V113" i="21"/>
  <c r="O112" i="21"/>
  <c r="O113" i="21"/>
  <c r="O154" i="5"/>
  <c r="V154" i="5"/>
  <c r="V156" i="5"/>
  <c r="O156" i="5"/>
  <c r="AF166" i="13"/>
  <c r="O160" i="5" s="1"/>
  <c r="O160" i="21" s="1"/>
  <c r="O158" i="5"/>
  <c r="AG166" i="13"/>
  <c r="V160" i="5" s="1"/>
  <c r="V160" i="21" s="1"/>
  <c r="V158" i="5"/>
  <c r="O203" i="5"/>
  <c r="V203" i="5"/>
  <c r="V154" i="21" l="1"/>
  <c r="V155" i="21"/>
  <c r="O154" i="21"/>
  <c r="O155" i="21"/>
  <c r="V158" i="21"/>
  <c r="V159" i="21"/>
  <c r="O158" i="21"/>
  <c r="O159" i="21"/>
  <c r="O156" i="21"/>
  <c r="O157" i="21"/>
  <c r="V156" i="21"/>
  <c r="V157" i="21"/>
  <c r="V200" i="21"/>
  <c r="V204" i="21"/>
  <c r="O200" i="21"/>
  <c r="O204" i="21"/>
  <c r="D44" i="11"/>
  <c r="E44" i="11" s="1"/>
  <c r="K44" i="11" s="1"/>
  <c r="AD31" i="11" l="1"/>
  <c r="F44" i="11" l="1"/>
  <c r="O206" i="5"/>
  <c r="O207" i="21" s="1"/>
  <c r="O203" i="21" l="1"/>
  <c r="O206" i="21"/>
  <c r="G44" i="11"/>
  <c r="L44" i="11" s="1"/>
  <c r="AE31" i="11" l="1"/>
  <c r="V206" i="5" l="1"/>
  <c r="H44" i="11"/>
  <c r="V206" i="21" l="1"/>
  <c r="V207" i="21"/>
  <c r="V203" i="21"/>
  <c r="I44" i="11"/>
  <c r="M44" i="11" s="1"/>
  <c r="AF31" i="11" l="1"/>
  <c r="H203" i="5" l="1"/>
  <c r="H206" i="5"/>
  <c r="AE214" i="13"/>
  <c r="H206" i="21" l="1"/>
  <c r="H207" i="21"/>
  <c r="H200" i="21"/>
  <c r="H204" i="21"/>
  <c r="H203" i="21"/>
  <c r="H209" i="5"/>
  <c r="H209" i="21" s="1"/>
  <c r="O209" i="5"/>
  <c r="O209" i="21" s="1"/>
  <c r="F77" i="5"/>
  <c r="F78" i="21" s="1"/>
  <c r="AF78" i="21" s="1"/>
  <c r="F31" i="16"/>
  <c r="AC77" i="5" l="1"/>
  <c r="F77" i="21"/>
  <c r="AF77" i="21" s="1"/>
  <c r="AJ79" i="13"/>
  <c r="AJ97" i="13" s="1"/>
  <c r="AB97" i="13"/>
  <c r="AI79" i="13"/>
  <c r="AI97" i="13" s="1"/>
  <c r="AK79" i="13"/>
  <c r="AK97" i="13" s="1"/>
  <c r="F40" i="16"/>
  <c r="I40" i="16" s="1"/>
  <c r="I31" i="16"/>
  <c r="AD72" i="13" l="1"/>
  <c r="C38" i="11"/>
  <c r="F38" i="11"/>
  <c r="F46" i="11" s="1"/>
  <c r="BG261" i="13" s="1"/>
  <c r="P92" i="5"/>
  <c r="P92" i="21" s="1"/>
  <c r="H38" i="11"/>
  <c r="H46" i="11" s="1"/>
  <c r="BJ261" i="13" s="1"/>
  <c r="W92" i="5"/>
  <c r="D38" i="11"/>
  <c r="D46" i="11" s="1"/>
  <c r="BD261" i="13" s="1"/>
  <c r="I92" i="5"/>
  <c r="I92" i="21" s="1"/>
  <c r="AD92" i="13"/>
  <c r="AE92" i="13" s="1"/>
  <c r="H89" i="5" s="1"/>
  <c r="AD90" i="13"/>
  <c r="AD70" i="13"/>
  <c r="AG70" i="13" s="1"/>
  <c r="AD73" i="13"/>
  <c r="AG73" i="13" s="1"/>
  <c r="AB258" i="13"/>
  <c r="AD96" i="13"/>
  <c r="AD74" i="13"/>
  <c r="AF74" i="13" s="1"/>
  <c r="AD86" i="13"/>
  <c r="AD77" i="13"/>
  <c r="AE77" i="13" s="1"/>
  <c r="H75" i="5" s="1"/>
  <c r="AD95" i="13"/>
  <c r="AD78" i="13"/>
  <c r="AG78" i="13" s="1"/>
  <c r="F92" i="5"/>
  <c r="F92" i="21" s="1"/>
  <c r="AF92" i="21" s="1"/>
  <c r="AD76" i="13"/>
  <c r="AF76" i="13" s="1"/>
  <c r="AD87" i="13"/>
  <c r="AE87" i="13" s="1"/>
  <c r="AD91" i="13"/>
  <c r="AG91" i="13" s="1"/>
  <c r="AD79" i="13"/>
  <c r="AD84" i="13"/>
  <c r="AG84" i="13" s="1"/>
  <c r="BD260" i="13"/>
  <c r="C46" i="11"/>
  <c r="AD83" i="13"/>
  <c r="AD82" i="13"/>
  <c r="AD85" i="13"/>
  <c r="AG85" i="13" s="1"/>
  <c r="AD89" i="13"/>
  <c r="AF89" i="13" s="1"/>
  <c r="AD93" i="13"/>
  <c r="BG260" i="13"/>
  <c r="AD71" i="13"/>
  <c r="AG71" i="13" s="1"/>
  <c r="AD88" i="13"/>
  <c r="AD80" i="13"/>
  <c r="AE80" i="13" s="1"/>
  <c r="AD69" i="13"/>
  <c r="AD81" i="13"/>
  <c r="AD94" i="13"/>
  <c r="BJ260" i="13"/>
  <c r="AD75" i="13"/>
  <c r="AF72" i="13"/>
  <c r="O69" i="5" s="1"/>
  <c r="AG72" i="13"/>
  <c r="V69" i="5" s="1"/>
  <c r="AE72" i="13"/>
  <c r="H69" i="5" s="1"/>
  <c r="F32" i="3" l="1"/>
  <c r="AA258" i="13"/>
  <c r="F31" i="3" s="1"/>
  <c r="AF92" i="13"/>
  <c r="O89" i="5" s="1"/>
  <c r="AG92" i="13"/>
  <c r="V89" i="5" s="1"/>
  <c r="AB206" i="21"/>
  <c r="W92" i="21"/>
  <c r="AF78" i="13"/>
  <c r="O76" i="5" s="1"/>
  <c r="AE89" i="13"/>
  <c r="H86" i="5" s="1"/>
  <c r="AG89" i="13"/>
  <c r="V86" i="5" s="1"/>
  <c r="AE78" i="13"/>
  <c r="H76" i="5" s="1"/>
  <c r="H76" i="21" s="1"/>
  <c r="V76" i="5"/>
  <c r="O86" i="5"/>
  <c r="AG77" i="13"/>
  <c r="V75" i="5" s="1"/>
  <c r="AF77" i="13"/>
  <c r="O75" i="5" s="1"/>
  <c r="AG76" i="13"/>
  <c r="V74" i="5" s="1"/>
  <c r="AE76" i="13"/>
  <c r="AE91" i="13"/>
  <c r="H88" i="5" s="1"/>
  <c r="AF91" i="13"/>
  <c r="V88" i="5" s="1"/>
  <c r="AE73" i="13"/>
  <c r="H71" i="5" s="1"/>
  <c r="AG87" i="13"/>
  <c r="V84" i="5" s="1"/>
  <c r="AF85" i="13"/>
  <c r="O82" i="5" s="1"/>
  <c r="AE85" i="13"/>
  <c r="H82" i="5" s="1"/>
  <c r="AF73" i="13"/>
  <c r="AF70" i="13"/>
  <c r="AF84" i="13"/>
  <c r="O81" i="5" s="1"/>
  <c r="AE84" i="13"/>
  <c r="H81" i="5" s="1"/>
  <c r="AE70" i="13"/>
  <c r="H67" i="5" s="1"/>
  <c r="I38" i="11"/>
  <c r="M38" i="11" s="1"/>
  <c r="M46" i="11" s="1"/>
  <c r="E38" i="11"/>
  <c r="K38" i="11" s="1"/>
  <c r="AD25" i="11" s="1"/>
  <c r="AC92" i="5"/>
  <c r="G38" i="11"/>
  <c r="L38" i="11" s="1"/>
  <c r="L46" i="11" s="1"/>
  <c r="S5" i="5" s="1"/>
  <c r="S5" i="21" s="1"/>
  <c r="AE71" i="13"/>
  <c r="H68" i="5" s="1"/>
  <c r="AF71" i="13"/>
  <c r="O68" i="5" s="1"/>
  <c r="AG74" i="13"/>
  <c r="V72" i="5" s="1"/>
  <c r="AE74" i="13"/>
  <c r="H72" i="5" s="1"/>
  <c r="AF87" i="13"/>
  <c r="O84" i="5" s="1"/>
  <c r="AG80" i="13"/>
  <c r="V78" i="5" s="1"/>
  <c r="AF80" i="13"/>
  <c r="O78" i="5" s="1"/>
  <c r="AG88" i="13"/>
  <c r="V85" i="5" s="1"/>
  <c r="AE88" i="13"/>
  <c r="H85" i="5" s="1"/>
  <c r="AF88" i="13"/>
  <c r="O85" i="5" s="1"/>
  <c r="AE81" i="13"/>
  <c r="H79" i="5" s="1"/>
  <c r="AG81" i="13"/>
  <c r="V79" i="5" s="1"/>
  <c r="AF81" i="13"/>
  <c r="O79" i="5" s="1"/>
  <c r="AD97" i="13"/>
  <c r="AG94" i="13"/>
  <c r="AE94" i="13"/>
  <c r="AF94" i="13"/>
  <c r="H78" i="5"/>
  <c r="H84" i="5"/>
  <c r="AG83" i="13"/>
  <c r="O74" i="5"/>
  <c r="V67" i="5"/>
  <c r="H68" i="21" l="1"/>
  <c r="H69" i="21"/>
  <c r="O69" i="21"/>
  <c r="AG90" i="13"/>
  <c r="V87" i="5" s="1"/>
  <c r="V87" i="21" s="1"/>
  <c r="H70" i="21"/>
  <c r="H71" i="21"/>
  <c r="V85" i="21"/>
  <c r="H72" i="21"/>
  <c r="O82" i="21"/>
  <c r="V79" i="21"/>
  <c r="V76" i="21"/>
  <c r="O86" i="21"/>
  <c r="H82" i="21"/>
  <c r="O76" i="21"/>
  <c r="O79" i="21"/>
  <c r="V86" i="21"/>
  <c r="H86" i="21"/>
  <c r="H79" i="21"/>
  <c r="O85" i="21"/>
  <c r="H85" i="21"/>
  <c r="V89" i="21"/>
  <c r="O75" i="21"/>
  <c r="V75" i="21"/>
  <c r="H89" i="21"/>
  <c r="AF75" i="13"/>
  <c r="O73" i="5" s="1"/>
  <c r="AE75" i="13"/>
  <c r="H73" i="5" s="1"/>
  <c r="H73" i="21" s="1"/>
  <c r="H74" i="5"/>
  <c r="V81" i="5"/>
  <c r="O67" i="5"/>
  <c r="BJ262" i="13"/>
  <c r="BK262" i="13" s="1"/>
  <c r="BL262" i="13" s="1"/>
  <c r="Z5" i="5"/>
  <c r="Z5" i="21" s="1"/>
  <c r="AF90" i="13"/>
  <c r="O87" i="5" s="1"/>
  <c r="O87" i="21" s="1"/>
  <c r="O71" i="5"/>
  <c r="V82" i="5"/>
  <c r="O88" i="5"/>
  <c r="O72" i="5"/>
  <c r="V68" i="5"/>
  <c r="V71" i="5"/>
  <c r="AE90" i="13"/>
  <c r="H87" i="5" s="1"/>
  <c r="H87" i="21" s="1"/>
  <c r="AG75" i="13"/>
  <c r="V73" i="5" s="1"/>
  <c r="V73" i="21" s="1"/>
  <c r="AF83" i="13"/>
  <c r="O80" i="5" s="1"/>
  <c r="O80" i="21" s="1"/>
  <c r="K46" i="11"/>
  <c r="BD262" i="13" s="1"/>
  <c r="BE262" i="13" s="1"/>
  <c r="BF262" i="13" s="1"/>
  <c r="AE83" i="13"/>
  <c r="H80" i="5" s="1"/>
  <c r="H80" i="21" s="1"/>
  <c r="AF25" i="11"/>
  <c r="AF69" i="13"/>
  <c r="AE25" i="11"/>
  <c r="AE69" i="13"/>
  <c r="H66" i="5" s="1"/>
  <c r="H66" i="21" s="1"/>
  <c r="AG69" i="13"/>
  <c r="AE86" i="13"/>
  <c r="H83" i="5" s="1"/>
  <c r="H83" i="21" s="1"/>
  <c r="AG86" i="13"/>
  <c r="V83" i="5" s="1"/>
  <c r="AF86" i="13"/>
  <c r="O83" i="5" s="1"/>
  <c r="O83" i="21" s="1"/>
  <c r="AF79" i="13"/>
  <c r="AE79" i="13"/>
  <c r="H77" i="5" s="1"/>
  <c r="H77" i="21" s="1"/>
  <c r="AG79" i="13"/>
  <c r="AF93" i="13"/>
  <c r="O90" i="5" s="1"/>
  <c r="O90" i="21" s="1"/>
  <c r="O91" i="5"/>
  <c r="H91" i="5"/>
  <c r="AE93" i="13"/>
  <c r="H90" i="5" s="1"/>
  <c r="H90" i="21" s="1"/>
  <c r="AG93" i="13"/>
  <c r="V90" i="5" s="1"/>
  <c r="V90" i="21" s="1"/>
  <c r="V91" i="5"/>
  <c r="BG262" i="13"/>
  <c r="V68" i="21" l="1"/>
  <c r="V69" i="21"/>
  <c r="H67" i="21"/>
  <c r="O68" i="21"/>
  <c r="V70" i="21"/>
  <c r="V71" i="21"/>
  <c r="O70" i="21"/>
  <c r="O71" i="21"/>
  <c r="O72" i="21"/>
  <c r="V83" i="21"/>
  <c r="V82" i="21"/>
  <c r="O73" i="21"/>
  <c r="O74" i="21"/>
  <c r="V91" i="21"/>
  <c r="H91" i="21"/>
  <c r="O91" i="21"/>
  <c r="H88" i="21"/>
  <c r="O81" i="21"/>
  <c r="V88" i="21"/>
  <c r="H78" i="21"/>
  <c r="O88" i="21"/>
  <c r="O84" i="21"/>
  <c r="H81" i="21"/>
  <c r="V84" i="21"/>
  <c r="H74" i="21"/>
  <c r="H75" i="21"/>
  <c r="O89" i="21"/>
  <c r="V74" i="21"/>
  <c r="V72" i="21"/>
  <c r="H84" i="21"/>
  <c r="H11" i="11"/>
  <c r="O66" i="5"/>
  <c r="O66" i="21" s="1"/>
  <c r="O77" i="5"/>
  <c r="V80" i="5"/>
  <c r="V80" i="21" s="1"/>
  <c r="V77" i="5"/>
  <c r="V66" i="5"/>
  <c r="D11" i="11"/>
  <c r="L5" i="5"/>
  <c r="J5" i="21" s="1"/>
  <c r="AF97" i="13"/>
  <c r="AE97" i="13"/>
  <c r="AE260" i="13" s="1"/>
  <c r="AG97" i="13"/>
  <c r="F11" i="11"/>
  <c r="BH262" i="13"/>
  <c r="BI262" i="13" s="1"/>
  <c r="V66" i="21" l="1"/>
  <c r="V67" i="21"/>
  <c r="O67" i="21"/>
  <c r="O77" i="21"/>
  <c r="O78" i="21"/>
  <c r="V77" i="21"/>
  <c r="V78" i="21"/>
  <c r="V81" i="21"/>
  <c r="V92" i="5"/>
  <c r="V92" i="21" s="1"/>
  <c r="O92" i="5"/>
  <c r="O92" i="21" s="1"/>
  <c r="H92" i="5"/>
  <c r="H92" i="21" s="1"/>
  <c r="BJ315" i="13"/>
  <c r="BS309" i="13" s="1"/>
  <c r="AD51" i="11" s="1"/>
  <c r="BG250" i="13"/>
  <c r="BH250" i="13" s="1"/>
  <c r="P137" i="5" s="1"/>
  <c r="AY145" i="13"/>
  <c r="P137" i="21" l="1"/>
  <c r="BH145" i="13"/>
  <c r="P138" i="5" s="1"/>
  <c r="P139" i="21" s="1"/>
  <c r="BG259" i="13"/>
  <c r="BI315" i="13"/>
  <c r="BR309" i="13" s="1"/>
  <c r="AC51" i="11" s="1"/>
  <c r="BE145" i="13"/>
  <c r="BH259" i="13" l="1"/>
  <c r="BI259" i="13" s="1"/>
  <c r="BI264" i="13" s="1"/>
  <c r="BH258" i="13"/>
  <c r="P138" i="21"/>
  <c r="BK145" i="13"/>
  <c r="BJ250" i="13"/>
  <c r="BK250" i="13" s="1"/>
  <c r="W137" i="5" s="1"/>
  <c r="I138" i="5"/>
  <c r="I139" i="21" s="1"/>
  <c r="I137" i="5"/>
  <c r="S6" i="21"/>
  <c r="L48" i="11"/>
  <c r="W138" i="5"/>
  <c r="W139" i="21" s="1"/>
  <c r="BK315" i="13"/>
  <c r="BT309" i="13" s="1"/>
  <c r="AE51" i="11" s="1"/>
  <c r="BJ259" i="13"/>
  <c r="BH264" i="13"/>
  <c r="BH267" i="13"/>
  <c r="BK259" i="13" l="1"/>
  <c r="BK258" i="13"/>
  <c r="I138" i="21"/>
  <c r="I137" i="21"/>
  <c r="W138" i="21"/>
  <c r="W137" i="21"/>
  <c r="F10" i="11"/>
  <c r="L47" i="11" s="1"/>
  <c r="S4" i="5"/>
  <c r="S4" i="21" s="1"/>
  <c r="BL259" i="13"/>
  <c r="BL264" i="13" s="1"/>
  <c r="M48" i="11"/>
  <c r="Z6" i="21"/>
  <c r="BK264" i="13" l="1"/>
  <c r="BK267" i="13"/>
  <c r="Z4" i="5" l="1"/>
  <c r="Z4" i="21" s="1"/>
  <c r="H10" i="11"/>
  <c r="M47" i="11" s="1"/>
  <c r="BI320" i="13" l="1"/>
  <c r="BE158" i="13"/>
  <c r="I152" i="5" s="1"/>
  <c r="I152" i="21" s="1"/>
  <c r="BD259" i="13"/>
  <c r="BE258" i="13" s="1"/>
  <c r="BE251" i="13"/>
  <c r="I153" i="5" s="1"/>
  <c r="I153" i="21" s="1"/>
  <c r="BI321" i="13"/>
  <c r="BE259" i="13" l="1"/>
  <c r="J6" i="21" s="1"/>
  <c r="BR311" i="13"/>
  <c r="AC53" i="11" s="1"/>
  <c r="K48" i="11"/>
  <c r="BF259" i="13"/>
  <c r="BF264" i="13" s="1"/>
  <c r="BE267" i="13" l="1"/>
  <c r="E8" i="5"/>
  <c r="E8" i="21" s="1"/>
  <c r="K10" i="11"/>
  <c r="BE264" i="13"/>
  <c r="D10" i="11" l="1"/>
  <c r="K47" i="11" s="1"/>
  <c r="L4" i="5"/>
  <c r="J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7" authorId="0" shapeId="0" xr:uid="{253B3D45-5FEB-4C4D-B97C-1EE64C83FD38}">
      <text>
        <r>
          <rPr>
            <sz val="9"/>
            <color indexed="81"/>
            <rFont val="Tahoma"/>
            <family val="2"/>
          </rPr>
          <t>Requirement: Compliance with</t>
        </r>
        <r>
          <rPr>
            <b/>
            <sz val="9"/>
            <color indexed="81"/>
            <rFont val="Tahoma"/>
            <family val="2"/>
          </rPr>
          <t xml:space="preserve"> Mat 05</t>
        </r>
        <r>
          <rPr>
            <sz val="9"/>
            <color indexed="81"/>
            <rFont val="Tahoma"/>
            <family val="2"/>
          </rPr>
          <t xml:space="preserve"> </t>
        </r>
        <r>
          <rPr>
            <b/>
            <sz val="9"/>
            <color indexed="81"/>
            <rFont val="Tahoma"/>
            <family val="2"/>
          </rPr>
          <t xml:space="preserve">criteria 6–8 </t>
        </r>
        <r>
          <rPr>
            <sz val="9"/>
            <color indexed="81"/>
            <rFont val="Tahoma"/>
            <family val="2"/>
          </rPr>
          <t>Control plan and moisture measurements.</t>
        </r>
      </text>
    </comment>
    <comment ref="E52" authorId="0" shapeId="0" xr:uid="{261D583D-125A-40C7-893D-8B7B4082601C}">
      <text>
        <r>
          <rPr>
            <sz val="9"/>
            <color indexed="81"/>
            <rFont val="Tahoma"/>
            <family val="2"/>
          </rPr>
          <t>Requirement for</t>
        </r>
        <r>
          <rPr>
            <b/>
            <sz val="9"/>
            <color indexed="81"/>
            <rFont val="Tahoma"/>
            <family val="2"/>
          </rPr>
          <t xml:space="preserve"> Ene 01 Passive design</t>
        </r>
        <r>
          <rPr>
            <sz val="9"/>
            <color indexed="81"/>
            <rFont val="Tahoma"/>
            <family val="2"/>
          </rPr>
          <t>: The assessment will achieve the first credit in Hea 03 Thermal comfort: Thermal modelling</t>
        </r>
      </text>
    </comment>
    <comment ref="E67" authorId="0" shapeId="0" xr:uid="{18C746A1-0AE3-45F3-9838-043A6EA2652A}">
      <text>
        <r>
          <rPr>
            <sz val="9"/>
            <color indexed="81"/>
            <rFont val="Tahoma"/>
            <family val="2"/>
          </rPr>
          <t>Requirement: Hea 03 Thermal comfort: Thermal modelling (N/A for shell only. N/A for industrial building without an office area)</t>
        </r>
      </text>
    </comment>
    <comment ref="E134" authorId="0" shapeId="0" xr:uid="{787C9B7F-FF07-4CA5-B5ED-FC86A40CD8F7}">
      <text>
        <r>
          <rPr>
            <sz val="9"/>
            <color indexed="81"/>
            <rFont val="Tahoma"/>
            <family val="2"/>
          </rPr>
          <t xml:space="preserve">Requirement for </t>
        </r>
        <r>
          <rPr>
            <b/>
            <sz val="9"/>
            <color indexed="81"/>
            <rFont val="Tahoma"/>
            <family val="2"/>
          </rPr>
          <t xml:space="preserve">Hea 02 </t>
        </r>
        <r>
          <rPr>
            <sz val="9"/>
            <color indexed="81"/>
            <rFont val="Tahoma"/>
            <family val="2"/>
          </rPr>
          <t>Pre-requisite: A site-specific indoor air quality plan has been produced</t>
        </r>
      </text>
    </comment>
    <comment ref="E171" authorId="0" shapeId="0" xr:uid="{726317CC-8A2E-4A13-A0CB-B6320E89BAEF}">
      <text>
        <r>
          <rPr>
            <sz val="9"/>
            <color indexed="81"/>
            <rFont val="Tahoma"/>
            <family val="2"/>
          </rPr>
          <t>Requirement for LE 03 :Criteria 2–6 in LE 02 must have been achieved</t>
        </r>
      </text>
    </comment>
    <comment ref="E216"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<sst xmlns="http://schemas.openxmlformats.org/spreadsheetml/2006/main" count="4495" uniqueCount="1171">
  <si>
    <t xml:space="preserve"> </t>
  </si>
  <si>
    <t>Construction</t>
  </si>
  <si>
    <t>Current Version</t>
  </si>
  <si>
    <t>Previous Versions</t>
  </si>
  <si>
    <t>Mat01</t>
  </si>
  <si>
    <t>Version</t>
  </si>
  <si>
    <t>Release Date</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</si>
  <si>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</si>
  <si>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</si>
  <si>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</si>
  <si>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</si>
  <si>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</si>
  <si>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</si>
  <si>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</si>
  <si>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</si>
  <si>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</si>
  <si>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</si>
  <si>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</si>
  <si>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</si>
  <si>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</si>
  <si>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</si>
  <si>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</si>
  <si>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</si>
  <si>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</si>
  <si>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</si>
  <si>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</si>
  <si>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</si>
  <si>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</si>
  <si>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</si>
  <si>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</si>
  <si>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</si>
  <si>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</si>
  <si>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</si>
  <si>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</si>
  <si>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</si>
  <si>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</si>
  <si>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</si>
  <si>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</si>
  <si>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</si>
  <si>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</si>
  <si>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</si>
  <si>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</si>
  <si>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</si>
  <si>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</si>
  <si>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</si>
  <si>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</si>
  <si>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</si>
  <si>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</si>
  <si>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</si>
  <si>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</si>
  <si>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</si>
  <si>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</si>
  <si>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</si>
  <si>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</si>
  <si>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</si>
  <si>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</si>
  <si>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</si>
  <si>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</si>
  <si>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</si>
  <si>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</si>
  <si>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</si>
  <si>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</si>
  <si>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</si>
  <si>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</si>
  <si>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</si>
  <si>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</si>
  <si>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</si>
  <si>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</si>
  <si>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</si>
  <si>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</si>
  <si>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</si>
  <si>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</si>
  <si>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</si>
  <si>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</si>
  <si>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</si>
  <si>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</si>
  <si>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</si>
  <si>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</si>
  <si>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</si>
  <si>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</si>
  <si>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</si>
  <si>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</si>
  <si>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</si>
  <si>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</si>
  <si>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</si>
  <si>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</si>
  <si>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</si>
  <si>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</si>
  <si>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</si>
  <si>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</si>
  <si>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</si>
  <si>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</si>
  <si>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</si>
  <si>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</si>
  <si>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</si>
  <si>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</si>
  <si>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</si>
  <si>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</si>
  <si>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</si>
  <si>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</si>
  <si>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</si>
  <si>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</si>
  <si>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</si>
  <si>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</si>
  <si>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</si>
  <si>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</si>
  <si>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</si>
  <si>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</si>
  <si>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</si>
  <si>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</si>
  <si>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</si>
  <si>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</si>
  <si>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</si>
  <si>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</si>
  <si>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</si>
  <si>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</si>
  <si>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</si>
  <si>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</si>
  <si>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</si>
  <si>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</si>
  <si>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</si>
  <si>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</si>
  <si>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</si>
  <si>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</si>
  <si>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</si>
  <si>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</si>
  <si>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</si>
  <si>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</si>
  <si>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</si>
  <si>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</si>
  <si>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</si>
  <si>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</si>
  <si>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</si>
  <si>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</si>
  <si>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</si>
  <si>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</si>
  <si>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</si>
  <si>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</si>
  <si>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</si>
  <si>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</si>
  <si>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</si>
  <si>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</si>
  <si>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</si>
  <si>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</si>
  <si>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</si>
  <si>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</si>
  <si>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</si>
  <si>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</si>
  <si>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</si>
  <si>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</si>
  <si>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</si>
  <si>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</si>
  <si>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</si>
  <si>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</si>
  <si>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</si>
  <si>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</si>
  <si>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</si>
  <si>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</si>
  <si>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</si>
  <si>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</si>
  <si>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</si>
  <si>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</si>
  <si>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</si>
  <si>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</si>
  <si>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</si>
  <si>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</si>
  <si>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</si>
  <si>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</si>
  <si>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</si>
  <si>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</si>
  <si>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</si>
  <si>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</si>
  <si>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</si>
  <si>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</si>
  <si>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</si>
  <si>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</si>
  <si>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</si>
  <si>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</si>
  <si>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</si>
  <si>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</si>
  <si>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</si>
  <si>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</si>
  <si>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</si>
  <si>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</si>
  <si>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</si>
  <si>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</si>
  <si>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</si>
  <si>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</si>
  <si>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</si>
  <si>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</si>
  <si>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</si>
  <si>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</si>
  <si>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</si>
  <si>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</si>
  <si>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</si>
  <si>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</si>
  <si>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</si>
  <si>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</si>
  <si>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</si>
  <si>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</si>
  <si>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</si>
  <si>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</si>
  <si>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</si>
  <si>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</si>
  <si>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</si>
  <si>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</si>
  <si>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</si>
  <si>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</si>
  <si>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</si>
  <si>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</si>
  <si>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</si>
  <si>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</si>
  <si>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</si>
  <si>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</si>
  <si>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</si>
  <si>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</si>
  <si>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</si>
  <si>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</si>
  <si>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</si>
  <si>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</si>
  <si>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</si>
  <si>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</si>
  <si>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</si>
  <si>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</si>
  <si>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</si>
  <si>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</si>
  <si>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</si>
  <si>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</si>
  <si>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</si>
  <si>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</si>
  <si>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</si>
  <si>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</si>
  <si>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</si>
  <si>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</si>
  <si>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</si>
  <si>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</si>
  <si>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</si>
  <si>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</si>
  <si>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</si>
  <si>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</si>
  <si>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</si>
  <si>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</si>
  <si>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</si>
  <si>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</si>
  <si>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</si>
  <si>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</si>
  <si>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</si>
  <si>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</si>
  <si>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</si>
  <si>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</si>
  <si>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</si>
  <si>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</si>
  <si>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</si>
  <si>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</si>
  <si>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</si>
  <si>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</si>
  <si>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</si>
  <si>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</si>
  <si>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</si>
  <si>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</si>
  <si>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</si>
  <si>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</si>
  <si>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</si>
  <si>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</si>
  <si>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</si>
  <si>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</si>
  <si>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</si>
  <si>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</si>
  <si>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</si>
  <si>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</si>
  <si>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</si>
  <si>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</si>
  <si>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</si>
  <si>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</si>
  <si>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</si>
  <si>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</si>
  <si>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</si>
  <si>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</si>
  <si>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</si>
  <si>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</si>
  <si>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</si>
  <si>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</si>
  <si>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</si>
  <si>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</si>
  <si>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</si>
  <si>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</si>
  <si>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</si>
  <si>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</si>
  <si>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</si>
  <si>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</si>
  <si>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</si>
  <si>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</si>
  <si>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</si>
  <si>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</si>
  <si>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</si>
  <si>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</si>
  <si>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</si>
  <si>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</si>
  <si>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</si>
  <si>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</si>
  <si>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</si>
  <si>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</si>
  <si>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</si>
  <si>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</si>
  <si>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</si>
  <si>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</si>
  <si>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</si>
  <si>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</si>
  <si>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</si>
  <si>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</si>
  <si>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</si>
  <si>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</si>
  <si>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</si>
  <si>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</si>
  <si>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</si>
  <si>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</si>
  <si>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</si>
  <si>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</si>
  <si>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</si>
  <si>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</si>
  <si>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</si>
  <si>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</si>
  <si>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</si>
  <si>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</si>
  <si>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</si>
  <si>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</si>
  <si>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</si>
  <si>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</si>
  <si>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</si>
  <si>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</si>
  <si>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</si>
  <si>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</si>
  <si>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</si>
  <si>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</si>
  <si>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</si>
  <si>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</si>
  <si>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</si>
  <si>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</si>
  <si>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</si>
  <si>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</si>
  <si>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</si>
  <si>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</si>
  <si>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</si>
  <si>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</si>
  <si>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</si>
  <si>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</si>
  <si>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</si>
  <si>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</si>
  <si>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</si>
  <si>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</si>
  <si>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</si>
  <si>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</si>
  <si>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</si>
  <si>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</si>
  <si>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</si>
  <si>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</si>
  <si>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</si>
  <si>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</si>
  <si>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</si>
  <si>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</si>
  <si>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</si>
  <si>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</si>
  <si>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</si>
  <si>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</si>
  <si>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</si>
  <si>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</si>
  <si>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</si>
  <si>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</si>
  <si>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</si>
  <si>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</si>
  <si>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</si>
  <si>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</si>
  <si>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</si>
  <si>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</si>
  <si>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</si>
  <si>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</si>
  <si>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</si>
  <si>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</si>
  <si>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</si>
  <si>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</si>
  <si>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</si>
  <si>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</si>
  <si>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</si>
  <si>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</si>
  <si>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</si>
  <si>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</si>
  <si>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</si>
  <si>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</si>
  <si>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</si>
  <si>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</si>
  <si>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</si>
  <si>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</si>
  <si>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</si>
  <si>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</si>
  <si>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</si>
  <si>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</si>
  <si>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</si>
  <si>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</si>
  <si>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</si>
  <si>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</si>
  <si>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</si>
  <si>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</si>
  <si>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</si>
  <si>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</si>
  <si>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</si>
  <si>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</si>
  <si>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</si>
  <si>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</si>
  <si>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</si>
  <si>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</si>
  <si>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</si>
  <si>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</si>
  <si>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</si>
  <si>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</si>
  <si>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</si>
  <si>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</si>
  <si>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</si>
  <si>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</si>
  <si>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</si>
  <si>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</si>
  <si>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</si>
  <si>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</si>
  <si>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</si>
  <si>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</si>
  <si>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</si>
  <si>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</si>
  <si>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</si>
  <si>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</si>
  <si>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</si>
  <si>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</si>
  <si>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</si>
  <si>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</si>
  <si>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</si>
  <si>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</si>
  <si>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</si>
  <si>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</si>
  <si>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</si>
  <si>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</si>
  <si>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</si>
  <si>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</si>
  <si>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</si>
  <si>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</si>
  <si>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</si>
  <si>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</si>
  <si>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</si>
  <si>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</si>
  <si>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</si>
  <si>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</si>
  <si>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</si>
  <si>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</si>
  <si>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</si>
  <si>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</si>
  <si>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</si>
  <si>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</si>
  <si>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</si>
  <si>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</si>
  <si>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</si>
  <si>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</si>
  <si>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</si>
  <si>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</si>
  <si>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</si>
  <si>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</si>
  <si>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</si>
  <si>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</si>
  <si>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</si>
  <si>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</si>
  <si>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</si>
  <si>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</si>
  <si>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</si>
  <si>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</si>
  <si>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</si>
  <si>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</si>
  <si>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</si>
  <si>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</si>
  <si>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</si>
  <si>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</si>
  <si>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</si>
  <si>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</si>
  <si>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</si>
  <si>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</si>
  <si>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</si>
  <si>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</si>
  <si>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</si>
  <si>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</si>
  <si>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</si>
  <si>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</si>
  <si>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</si>
  <si>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</si>
  <si>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</si>
  <si>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</si>
  <si>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</si>
  <si>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</si>
  <si>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</si>
  <si>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</si>
  <si>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</si>
  <si>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</si>
  <si>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</si>
  <si>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</si>
  <si>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</si>
  <si>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</si>
  <si>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</si>
  <si>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</si>
  <si>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</si>
  <si>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</si>
  <si>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</si>
  <si>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</si>
  <si>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</si>
  <si>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</si>
  <si>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</si>
  <si>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</si>
  <si>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</si>
  <si>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</si>
  <si>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</si>
  <si>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</si>
  <si>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</si>
  <si>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</si>
  <si>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</si>
  <si>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</si>
  <si>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</si>
  <si>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</si>
  <si>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</si>
  <si>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</si>
  <si>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</si>
  <si>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</si>
  <si>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</si>
  <si>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</si>
  <si>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</si>
  <si>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</si>
  <si>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</si>
  <si>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</si>
  <si>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</si>
  <si>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</si>
  <si>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</si>
  <si>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</si>
  <si>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</si>
  <si>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</si>
  <si>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</si>
  <si>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</si>
  <si>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</si>
  <si>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</si>
  <si>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</si>
  <si>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</si>
  <si>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</si>
  <si>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</si>
  <si>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</si>
  <si>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</si>
  <si>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</si>
  <si>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</si>
  <si>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</si>
  <si>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</si>
  <si>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</si>
  <si>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</si>
  <si>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</si>
  <si>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</si>
  <si>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</si>
  <si>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</si>
  <si>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</si>
  <si>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</si>
  <si>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</si>
  <si>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</si>
  <si>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</si>
  <si>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</si>
  <si>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</si>
  <si>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</si>
  <si>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</si>
  <si>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</si>
  <si>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</si>
  <si>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</si>
  <si>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</si>
  <si>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</si>
  <si>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</si>
  <si>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</si>
  <si>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</si>
  <si>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</si>
  <si>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</si>
  <si>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</si>
  <si>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</si>
  <si>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</si>
  <si>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</si>
  <si>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</si>
  <si>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</si>
  <si>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</si>
  <si>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</si>
  <si>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</si>
  <si>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</si>
  <si>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</si>
  <si>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</si>
  <si>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</si>
  <si>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</si>
  <si>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</si>
  <si>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</si>
  <si>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</si>
  <si>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</si>
  <si>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</si>
  <si>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</si>
  <si>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</si>
  <si>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</si>
  <si>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</si>
  <si>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</si>
  <si>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</si>
  <si>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</si>
  <si>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</si>
  <si>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</si>
  <si>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</si>
  <si>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</si>
  <si>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</si>
  <si>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</si>
  <si>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</si>
  <si>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</si>
  <si>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</si>
  <si>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</si>
  <si>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</si>
  <si>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</si>
  <si>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</si>
  <si>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</si>
  <si>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</si>
  <si>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</si>
  <si>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</si>
  <si>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</si>
  <si>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</si>
  <si>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</si>
  <si>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</si>
  <si>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</si>
  <si>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</si>
  <si>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</si>
  <si>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</si>
  <si>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</si>
  <si>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</si>
  <si>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</si>
  <si>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</si>
  <si>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</si>
  <si>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</si>
  <si>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</si>
  <si>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</si>
  <si>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</si>
  <si>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</si>
  <si>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</si>
  <si>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</si>
  <si>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</si>
  <si>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</si>
  <si>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</si>
  <si>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</si>
  <si>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</si>
  <si>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</si>
  <si>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</si>
  <si>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</si>
  <si>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</si>
  <si>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</si>
  <si>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</si>
  <si>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</si>
  <si>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</si>
  <si>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</si>
  <si>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</si>
  <si>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</si>
  <si>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</si>
  <si>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</si>
  <si>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</si>
  <si>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</si>
  <si>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</si>
  <si>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</si>
  <si>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</si>
  <si>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</si>
  <si>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</si>
  <si>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</si>
  <si>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</si>
  <si>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</si>
  <si>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</si>
  <si>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</si>
  <si>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</si>
  <si>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</si>
  <si>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</si>
  <si>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</si>
  <si>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</si>
  <si>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</si>
  <si>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</si>
  <si>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</si>
  <si>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</si>
  <si>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</si>
  <si>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</si>
  <si>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</si>
  <si>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</si>
  <si>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</si>
  <si>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</si>
  <si>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</si>
  <si>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</si>
  <si>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</si>
  <si>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</si>
  <si>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</si>
  <si>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</si>
  <si>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</si>
  <si>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</si>
  <si>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</si>
  <si>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</si>
  <si>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</si>
  <si>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</si>
  <si>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</si>
  <si>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</si>
  <si>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</si>
  <si>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</si>
  <si>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</si>
  <si>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</si>
  <si>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</si>
  <si>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</si>
  <si>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</si>
  <si>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</si>
  <si>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</si>
  <si>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</si>
  <si>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</si>
  <si>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</si>
  <si>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</si>
  <si>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</si>
  <si>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</si>
  <si>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</si>
  <si>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</si>
  <si>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</si>
  <si>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</si>
  <si>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</si>
  <si>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</si>
  <si>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</si>
  <si>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</si>
  <si>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</si>
  <si>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</si>
  <si>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</si>
  <si>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</si>
  <si>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</si>
  <si>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</si>
  <si>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</si>
  <si>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</si>
  <si>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</si>
  <si>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</si>
  <si>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</si>
  <si>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</si>
  <si>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</si>
  <si>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</si>
  <si>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</si>
  <si>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</si>
  <si>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</si>
  <si>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</si>
  <si>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</si>
  <si>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</si>
  <si>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</si>
  <si>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</si>
  <si>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</si>
  <si>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</si>
  <si>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</si>
  <si>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</si>
  <si>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</si>
  <si>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</si>
  <si>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</si>
  <si>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</si>
  <si>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</si>
  <si>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</si>
  <si>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</si>
  <si>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</si>
  <si>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</si>
  <si>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</si>
  <si>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</si>
  <si>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</si>
  <si>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</si>
  <si>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</si>
  <si>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</si>
  <si>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</si>
  <si>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</si>
  <si>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</si>
  <si>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</si>
  <si>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</si>
  <si>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</si>
  <si>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</si>
  <si>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</si>
  <si>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</si>
  <si>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</si>
  <si>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</si>
  <si>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</si>
  <si>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</si>
  <si>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</si>
  <si>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</si>
  <si>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</si>
  <si>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</si>
  <si>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</si>
  <si>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</si>
  <si>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</si>
  <si>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</si>
  <si>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</si>
  <si>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</si>
  <si>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</si>
  <si>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</si>
  <si>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</si>
  <si>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</si>
  <si>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</si>
  <si>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</si>
  <si>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</si>
  <si>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</si>
  <si>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</si>
  <si>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</si>
  <si>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</si>
  <si>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</si>
  <si>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</si>
  <si>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</si>
  <si>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</si>
  <si>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</si>
  <si>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</si>
  <si>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</si>
  <si>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</si>
  <si>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</si>
  <si>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</si>
  <si>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</si>
  <si>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</si>
  <si>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</si>
  <si>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</si>
  <si>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</si>
  <si>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</si>
  <si>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</si>
  <si>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</si>
  <si>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</si>
  <si>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</si>
  <si>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</si>
  <si>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</si>
  <si>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</si>
  <si>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</si>
  <si>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</si>
  <si>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</si>
  <si>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</si>
  <si>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</si>
  <si>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</si>
  <si>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</si>
  <si>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</si>
  <si>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</si>
  <si>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</si>
  <si>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</si>
  <si>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</si>
  <si>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</si>
  <si>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</si>
  <si>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</si>
  <si>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</si>
  <si>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</si>
  <si>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</si>
  <si>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</si>
  <si>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</si>
  <si>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</si>
  <si>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</si>
  <si>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</si>
  <si>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</si>
  <si>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</si>
  <si>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</si>
  <si>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</si>
  <si>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</si>
  <si>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</si>
  <si>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</si>
  <si>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</si>
  <si>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</si>
  <si>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</si>
  <si>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</si>
  <si>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</si>
  <si>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</si>
  <si>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</si>
  <si>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</si>
  <si>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</si>
  <si>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</si>
  <si>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</si>
  <si>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</si>
  <si>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</si>
  <si>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</si>
  <si>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</si>
  <si>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</si>
  <si>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</si>
  <si>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</si>
  <si>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</si>
  <si>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</si>
  <si>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</si>
  <si>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</si>
  <si>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</si>
  <si>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</si>
  <si>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</si>
  <si>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</si>
  <si>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</si>
  <si>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</si>
  <si>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</si>
  <si>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</si>
  <si>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</si>
  <si>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</si>
  <si>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</si>
  <si>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</si>
  <si>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</si>
  <si>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</si>
  <si>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</si>
  <si>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</si>
  <si>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</si>
  <si>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</si>
  <si>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</si>
  <si>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</si>
  <si>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</si>
  <si>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</si>
  <si>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</si>
  <si>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</si>
  <si>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</si>
  <si>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</si>
  <si>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</si>
  <si>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</si>
  <si>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</si>
  <si>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</si>
  <si>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</si>
  <si>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</si>
  <si>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</si>
  <si>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</si>
  <si>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</si>
  <si>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</si>
  <si>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</si>
  <si>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</si>
  <si>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</si>
  <si>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</si>
  <si>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</si>
  <si>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</si>
  <si>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</si>
  <si>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</si>
  <si>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</si>
  <si>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</si>
  <si>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</si>
  <si>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</si>
  <si>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</si>
  <si>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</si>
  <si>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</si>
  <si>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</si>
  <si>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</si>
  <si>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</si>
  <si>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</si>
  <si>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</si>
  <si>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</si>
  <si>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</si>
  <si>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</si>
  <si>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</si>
  <si>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</si>
  <si>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</si>
  <si>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</si>
  <si>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</si>
  <si>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</si>
  <si>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</si>
  <si>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</si>
  <si>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</si>
  <si>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</si>
  <si>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</si>
  <si>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</si>
  <si>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</si>
  <si>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</si>
  <si>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</si>
  <si>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</si>
  <si>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</si>
  <si>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</si>
  <si>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</si>
  <si>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</si>
  <si>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</si>
  <si>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</si>
  <si>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</si>
  <si>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</si>
  <si>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</si>
  <si>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</si>
  <si>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</si>
  <si>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</si>
  <si>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</si>
  <si>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</si>
  <si>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</si>
  <si>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</si>
  <si>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</si>
  <si>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</si>
  <si>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</si>
  <si>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</si>
  <si>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</si>
  <si>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</si>
  <si>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</si>
  <si>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</si>
  <si>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</si>
  <si>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</si>
  <si>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</si>
  <si>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</si>
  <si>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</si>
  <si>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</si>
  <si>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</si>
  <si>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</si>
  <si>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</si>
  <si>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</si>
  <si>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</si>
  <si>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</si>
  <si>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</si>
  <si>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legal and sustainable timber</t>
  </si>
  <si>
    <t>Pre-requisite: managing negative impacts on ecology</t>
  </si>
  <si>
    <t>Pre-requisite: flood risk assessment</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</si>
  <si>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</si>
  <si>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</si>
  <si>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</si>
  <si>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</si>
  <si>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</si>
  <si>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</si>
  <si>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</si>
  <si>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</si>
  <si>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</si>
  <si>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</si>
  <si>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</si>
  <si>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</si>
  <si>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</si>
  <si>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</si>
  <si>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</si>
  <si>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</si>
  <si>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</si>
  <si>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</si>
  <si>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</si>
  <si>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</si>
  <si>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</si>
  <si>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</si>
  <si>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</si>
  <si>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</si>
  <si>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rPr>
        <b/>
        <sz val="11"/>
        <color indexed="9"/>
        <rFont val="Calibri"/>
        <family val="2"/>
      </rPr>
      <t xml:space="preserve">Pol 05: </t>
    </r>
    <r>
      <rPr>
        <sz val="11"/>
        <color indexed="9"/>
        <rFont val="Calibri"/>
        <family val="2"/>
      </rPr>
      <t>Does the building have a need for heating, ventilation or air conditioning?</t>
    </r>
  </si>
  <si>
    <t>Mat 07 Design for disassembly and adaptability</t>
  </si>
  <si>
    <t>Resource inventory</t>
  </si>
  <si>
    <t>1.0</t>
  </si>
  <si>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</si>
  <si>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</si>
  <si>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</si>
  <si>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</si>
  <si>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</si>
  <si>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</si>
  <si>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</si>
  <si>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</si>
  <si>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</si>
  <si>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</si>
  <si>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t>
  </si>
  <si>
    <t>Mat 06d</t>
  </si>
  <si>
    <t>Achieved</t>
  </si>
  <si>
    <t>Not achieved</t>
  </si>
  <si>
    <r>
      <t>Ene 02:</t>
    </r>
    <r>
      <rPr>
        <sz val="11"/>
        <color rgb="FFFFFFFF"/>
        <rFont val="Calibri"/>
        <family val="2"/>
      </rPr>
      <t xml:space="preserve"> Sub-metering of high energy loads and tenancy areas. Is post-occupancy stage Ene 01 credits targeted?</t>
    </r>
  </si>
  <si>
    <r>
      <rPr>
        <b/>
        <sz val="11"/>
        <color indexed="9"/>
        <rFont val="Calibri"/>
        <family val="2"/>
      </rPr>
      <t xml:space="preserve">Hea 02, Hea 03: </t>
    </r>
    <r>
      <rPr>
        <sz val="11"/>
        <color indexed="9"/>
        <rFont val="Calibri"/>
        <family val="2"/>
      </rPr>
      <t>Does this industrial building have an office area or other occupied space?</t>
    </r>
  </si>
  <si>
    <t>Description of changes/additions made to the BREEAM Assessment Pre-Assessment Estimator</t>
  </si>
  <si>
    <t>Hea 01g</t>
  </si>
  <si>
    <t>Pre-requisite: limitation of light flicker and stroboscopic effect</t>
  </si>
  <si>
    <t>Pre-requisite: daylight assessments</t>
  </si>
  <si>
    <t>Næring</t>
  </si>
  <si>
    <t>Offentlig bygg (ikke boligformål)</t>
  </si>
  <si>
    <t>Boliger</t>
  </si>
  <si>
    <t>Flerboerbygg og omsorgsboliger</t>
  </si>
  <si>
    <t>Climate gas calculation for whole building life cycle (EU taxonomy requirement: criterion 2-3)</t>
  </si>
  <si>
    <t>Considerate contruction: clean and tidy building process and checklist A1 (EU taxonomy requirement: criterion 7-9)</t>
  </si>
  <si>
    <t>Considerate contruction: INSTA 800 and checklist A1 (EU taxonomy requirement: criterion 7-9)</t>
  </si>
  <si>
    <t>Emissions from construction products (EU taxonomy requirement: criterion 5)</t>
  </si>
  <si>
    <t>Minimum req: agricultural area / forest (EU taxonomy requirement: criterion 2)</t>
  </si>
  <si>
    <t>Survey and evaluation (EU taxonomy requirement: criterion 2-4)</t>
  </si>
  <si>
    <t>Risk assessment (EU taxonomy requirement: criterion 1-6)</t>
  </si>
  <si>
    <t>Minimum req: absence of environmental toxins (EU taxonomy requirement: criterion 1)</t>
  </si>
  <si>
    <t>Hea 02: Emissions from construction products</t>
  </si>
  <si>
    <t>Mat 03 - Responsible sourcing of mat. - Crit 1.</t>
  </si>
  <si>
    <t>Option 2: - 50% credit</t>
  </si>
  <si>
    <t>Mat 03 Responsible sourcing of mat. - Crit 1.</t>
  </si>
  <si>
    <t>Pre-requisite: flicker reduction and daylight calculations</t>
  </si>
  <si>
    <t>Minimum requirement</t>
  </si>
  <si>
    <t/>
  </si>
  <si>
    <t>Climate gas calculation for whole building life cycle: criterion 2-3</t>
  </si>
  <si>
    <t>Considerate contruction: INSTA 800 and checklist A1: criterion 7-9</t>
  </si>
  <si>
    <t>Emissions from construction products: criterion 5</t>
  </si>
  <si>
    <t>Minimum req: absence of environmental toxins: criterion 1</t>
  </si>
  <si>
    <t>Waste sorting ≥70%: criterion 4</t>
  </si>
  <si>
    <t>Minimum req: agricultural area / forest: criterion 2</t>
  </si>
  <si>
    <t>Survey and evaluation: criterion 2-4</t>
  </si>
  <si>
    <t>Risk assessment: criterion 1-6</t>
  </si>
  <si>
    <t>endret tabell F253R253 for tax ene, wat og wst</t>
  </si>
  <si>
    <t>la inn under tabell tax at hvis poeng høyere enn krav, så sort</t>
  </si>
  <si>
    <t>Design for disassembly and functional adaptability - recommendations (EU taxonomy requirement: criterion 2-3)</t>
  </si>
  <si>
    <t>Disassembly and functional adaptability - implementation (EU taxonomy requirement: criterion 4-6)</t>
  </si>
  <si>
    <t>Design for disassembly and functional adaptability - recommendations: criterion 2-3</t>
  </si>
  <si>
    <t>Disassembly and functional adaptability - implementation: criterion 4-6</t>
  </si>
  <si>
    <t>fikset tekst mat 07 (2-3 og 4-6)</t>
  </si>
  <si>
    <t>fikset - tatt bort tax le 03</t>
  </si>
  <si>
    <t>endret ene 01.  Adaptation to EU taxonomy (criterion 12) til Adaptation to EU taxonomy. Både under poeng og tax tabell</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</si>
  <si>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</si>
  <si>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</si>
  <si>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</si>
  <si>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</si>
  <si>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</si>
  <si>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</si>
  <si>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t>Pre-requisite: A site-specific indoor air quality plan has been produced</t>
  </si>
  <si>
    <t>til bruk for hea 02</t>
  </si>
  <si>
    <t>Må fikses bespoke og sr</t>
  </si>
  <si>
    <t>Assessmet issue scoringE823 mat 05 control plan må ikke være grået ut selv om no er valgt</t>
  </si>
  <si>
    <t>endre navn under poeng fanen hea 02 pre : Pre-requisite: A site-specific indoor air quality plan has been produced</t>
  </si>
  <si>
    <t>i ass iss scor. Hea 02. når pre req er no ller please blir likevel summen og poeng tilgjengelig. Mpå rettes</t>
  </si>
  <si>
    <t>hea 06 incluseinve poeng fane, celle U60. endre fra Z6 til Z7. skal gi 2 poeng for sheltered - omsorgsbolig</t>
  </si>
  <si>
    <t>wat 01 For boligbygg så kommer det ikke opp samsvar med EU taks fordi krit 2 kun er for næringsbygg. Fikset under poeg taks fane og summary building fase</t>
  </si>
  <si>
    <t>mat 06 ved filter ut pga ikke oråde som skal kartelgges filterres ikke taks ut. Fikset under poeg taks fane og summary building fase</t>
  </si>
  <si>
    <t>hea 02 ved filter ut pga ikke industri - ta ut fra taksonomi . Fikset under poeg taks fane og summary building fase</t>
  </si>
  <si>
    <t>wat 03Skal kun være mulig å oppnå kriterium 3 for enebolig. Pt går det an å oppfylle kriterium 1 også.</t>
  </si>
  <si>
    <t>Oppdatert kommentar Ene 01 under ore assesment estimator</t>
  </si>
  <si>
    <t>oppdatert ai70 til ak70 under poeng - nå bør det fubgere ene 01 hea 03</t>
  </si>
  <si>
    <t>flyttet spørsmål ass det opp et hakk e11</t>
  </si>
  <si>
    <r>
      <rPr>
        <b/>
        <sz val="11"/>
        <color rgb="FFFFFFFF"/>
        <rFont val="Calibri"/>
        <family val="2"/>
      </rPr>
      <t>Wat 03:</t>
    </r>
    <r>
      <rPr>
        <sz val="11"/>
        <color indexed="9"/>
        <rFont val="Calibri"/>
        <family val="2"/>
      </rPr>
      <t xml:space="preserve"> WC facilities are only provided within the residential areas?</t>
    </r>
  </si>
  <si>
    <t>la til spørsmål wat 03 ass det for langtid bolig</t>
  </si>
  <si>
    <t>V1.6</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</si>
  <si>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</si>
  <si>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</si>
  <si>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</si>
  <si>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</si>
  <si>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</si>
  <si>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</si>
  <si>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fane poeng: AK281 rettet til 35 og ikke 36</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</si>
  <si>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</si>
  <si>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</si>
  <si>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</si>
  <si>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</si>
  <si>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</si>
  <si>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EU taxonomy requirement: criterion 4, ready for reuse &gt;70%</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</si>
  <si>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</si>
  <si>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</si>
  <si>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</si>
  <si>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</si>
  <si>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5-6)</t>
  </si>
  <si>
    <t>Endre til Considerate contruction: clean and tidy building process and checklist A1 (EU taxonomy requirement: criterion 5-6)</t>
  </si>
  <si>
    <t>lagt til clle BA 49 poeng</t>
  </si>
  <si>
    <t xml:space="preserve">I Hea 02 er det en feilkobling av poeng og sertifiseringsnivå. For emissions from construction products (EU taxonomy requirement: criterion 5) skal 0 poeng tilsvare sertifiseringsnivå Good, 1 poeng Very Good og 2 poeng Outstanding. </t>
  </si>
  <si>
    <t>WC facilities are only provided within the residential areas</t>
  </si>
  <si>
    <t>Staff WC etc. outside the residential areas</t>
  </si>
  <si>
    <t>assessment details</t>
  </si>
  <si>
    <t>R22 R23 endre til</t>
  </si>
  <si>
    <r>
      <t xml:space="preserve">Hvis man skal ta forkravet i HEA02, dvs </t>
    </r>
    <r>
      <rPr>
        <i/>
        <sz val="11"/>
        <color theme="1"/>
        <rFont val="Calibri"/>
        <family val="2"/>
        <scheme val="minor"/>
      </rPr>
      <t>indoor air quality plan</t>
    </r>
    <r>
      <rPr>
        <sz val="11"/>
        <color theme="1"/>
        <rFont val="Calibri"/>
        <family val="2"/>
        <scheme val="minor"/>
      </rPr>
      <t xml:space="preserve"> og kriteriene 6-8 </t>
    </r>
    <r>
      <rPr>
        <i/>
        <sz val="11"/>
        <color theme="1"/>
        <rFont val="Calibri"/>
        <family val="2"/>
        <scheme val="minor"/>
      </rPr>
      <t>Control plan and moisture measurements</t>
    </r>
    <r>
      <rPr>
        <sz val="11"/>
        <color theme="1"/>
        <rFont val="Calibri"/>
        <family val="2"/>
        <scheme val="minor"/>
      </rPr>
      <t xml:space="preserve"> i MAT05, men ikke forkravet, må man slik det er nå aktivt velge «No» i spørsmålet om forkrav, og så legge inn 1 poeng i krit 6-8. Poenget blir da ikke telt med i scoren.</t>
    </r>
  </si>
  <si>
    <t>Hvis man derimot ikke skriver noe i forkravet, men fortsatt legger inn 1 poeng i krit 6-8 blir poenget tellende med. Dette er uheldig. Vi ønsker dette endret til at poenget kun tildeles dersom det aktivt velges «yes» under forkravet i Mat 05. Slik kan man legge inn 1 under kriterium 6-8 for å vise samsvar med forkravet i Hea 02, men ikke ta poenget i Mat 05.</t>
  </si>
  <si>
    <t>Gir det mening?</t>
  </si>
  <si>
    <t>Ene 01 – nZEB trenger ikke to celler for å vise samsvar med taksonomien lenger. Poengoppnåelse = taksonomisamsvar.</t>
  </si>
  <si>
    <t>lagt til 1 under BO73 poeng</t>
  </si>
  <si>
    <t>slettet rad 256 poeng</t>
  </si>
  <si>
    <t>BR257-BT27 - ta bort nede rad</t>
  </si>
  <si>
    <t>Endret navn sum building pref: C63. endret A63 til Ene 01d</t>
  </si>
  <si>
    <t>slettet rad med adaption under pre ass estim</t>
  </si>
  <si>
    <t>slettet rad med adaption pae available for copy</t>
  </si>
  <si>
    <t>BREEAM-NOR v6.1 New Construction Pre-Assessment Estimator</t>
  </si>
  <si>
    <r>
      <rPr>
        <b/>
        <sz val="11"/>
        <color theme="1"/>
        <rFont val="Calibri"/>
        <family val="2"/>
        <scheme val="minor"/>
      </rPr>
      <t xml:space="preserve">Disclaimer </t>
    </r>
    <r>
      <rPr>
        <sz val="11"/>
        <color theme="1"/>
        <rFont val="Calibri"/>
        <family val="2"/>
        <scheme val="minor"/>
      </rPr>
      <t xml:space="preserve">
Thank you for downloading and using the BREEAM-NOR Versjon 6.1.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</si>
  <si>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v6.1 Pre-Assessment Estimator_v1.0 - Office HQ 1/11/16.</t>
    </r>
  </si>
  <si>
    <t>BREEAM-NOR v6.1 New Construction Pre-Assessment Estimator: Assessment Details</t>
  </si>
  <si>
    <t>BREEAM-NOR v6.1 New Construction Pre-Assessment Estimator: Building Performance</t>
  </si>
  <si>
    <t>BREEAM-NOR v6.1 New Construction Pre-Assessment Estimator: Summary of Building Performance</t>
  </si>
  <si>
    <t>BREEAM-NOR v6.1 Issue</t>
  </si>
  <si>
    <t>BREEAM-NOR v6.1 New Construction Pre-Assessment Estimator: Version Control</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</si>
  <si>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v6.1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</si>
  <si>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t>Note: If you are starting a new pre-assessment please ensure you are using the latest template version of the BREEAM-NOR v6.1 Pre-Assessment Estimator and not a version used for an existing/previous pre-assessment.</t>
  </si>
  <si>
    <t>Initial Release Version of BREEAM-NOR v6.1 New Construction Pre-Assessment Tool.</t>
  </si>
  <si>
    <t>EU taxonomy requirements: criterion 9 and 10 - Energy performance</t>
  </si>
  <si>
    <t>E253 poent til EU taxonomy requirements: criterion 9 and 10 - Energy performance</t>
  </si>
  <si>
    <t>endret pre assessment til kun 0 eller 3 poeng</t>
  </si>
  <si>
    <t>C62 til Energy performance: riterion 9 and 10 summary of building</t>
  </si>
  <si>
    <t>Energy performance: criterion 9 and 10</t>
  </si>
  <si>
    <t>Endret C63 summary of til Adaptation to EU taxonomy: criterion 11 and 12</t>
  </si>
  <si>
    <t>Endret til v1.0</t>
  </si>
  <si>
    <t>Adaptation to EU taxonomy: criterion 12</t>
  </si>
  <si>
    <t>C63 til Adaptation to EU taxonomy: criterion 12</t>
  </si>
  <si>
    <t>Adaptation to EU taxonomy (EU taxonomy requirements: criterion 12)</t>
  </si>
  <si>
    <t>endret E73 poeng til Adaptation to EU taxonomy (EU taxonomy requirements: criterion 12)</t>
  </si>
  <si>
    <t>Considerate contruction: clean and tidy building process and checklist A1: criterion 5-6</t>
  </si>
  <si>
    <t>Endret C56 summary til Considerate contruction: clean and tidy building process and checklist A1: criterion 5-6</t>
  </si>
  <si>
    <t>Endret over tabell på PAE available: tall i rad 2</t>
  </si>
  <si>
    <t>Endret til YES i BP250, BQ250 poeng</t>
  </si>
  <si>
    <t>kopiert inn =IF(AB145=0; forran BR:BT 250</t>
  </si>
  <si>
    <t>Tatt bort BP144:BT144</t>
  </si>
  <si>
    <t>Minimum req: mapping for component reuse - criterion 1 (EU taxonomy requirement: criterion 1)</t>
  </si>
  <si>
    <t>Endret navn poeng Mat 06 og Mat 06 min req</t>
  </si>
  <si>
    <t>Mapping for component reuse and implementation: criterion 1</t>
  </si>
  <si>
    <t>Endret navn summary C70</t>
  </si>
  <si>
    <t>Endret til MAt06dA70 summary</t>
  </si>
  <si>
    <t>kopiert inn =IF(AB145=0;9; forran BR:BT 250</t>
  </si>
  <si>
    <t>sjekk alle eu rwq tabell. Noen design og construction har ikke med hvis N/A</t>
  </si>
  <si>
    <t>1.1</t>
  </si>
  <si>
    <t>Added project type: Major Refurbishment</t>
  </si>
  <si>
    <t>EU taxonomy requirements: criterion 2</t>
  </si>
  <si>
    <t>Outstanding ≥85%</t>
  </si>
  <si>
    <t>Excellent ≥70%</t>
  </si>
  <si>
    <t>Very Good ≥55%</t>
  </si>
  <si>
    <t>Good ≥45%</t>
  </si>
  <si>
    <t>Pass ≥30%</t>
  </si>
  <si>
    <t>Unclassified &lt;30%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</si>
</sst>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4"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b/>
      <u/>
      <sz val="11"/>
      <color theme="1"/>
      <name val="Calibri"/>
      <family val="2"/>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3D6864"/>
      </left>
      <right/>
      <top style="thin">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xf numFmtId="9" fontId="1" fillId="0" borderId="0" applyFont="0" applyFill="0" applyBorder="0" applyAlignment="0" applyProtection="0"/>
  </cellStyleXfs>
  <cellXfs count="1412">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0" xfId="0" applyFill="1" applyBorder="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ont="1"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Fill="1" applyBorder="1" applyProtection="1">
      <protection hidden="1"/>
    </xf>
    <xf numFmtId="0" fontId="0" fillId="0" borderId="0" xfId="0" applyFill="1"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0" fillId="2" borderId="0" xfId="0" applyFill="1" applyBorder="1" applyAlignment="1" applyProtection="1">
      <alignment horizontal="left" vertical="top" wrapText="1"/>
      <protection hidden="1"/>
    </xf>
    <xf numFmtId="0" fontId="17" fillId="2" borderId="0" xfId="0" applyFont="1" applyFill="1" applyAlignment="1" applyProtection="1">
      <alignment vertical="top" wrapText="1"/>
      <protection hidden="1"/>
    </xf>
    <xf numFmtId="0" fontId="17" fillId="0" borderId="0" xfId="0" applyFont="1" applyFill="1" applyAlignment="1" applyProtection="1">
      <alignment vertical="top" wrapText="1"/>
      <protection hidden="1"/>
    </xf>
    <xf numFmtId="0" fontId="0" fillId="0" borderId="0" xfId="0"/>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Border="1" applyAlignment="1" applyProtection="1">
      <alignment vertical="top" wrapText="1"/>
      <protection hidden="1"/>
    </xf>
    <xf numFmtId="0" fontId="16" fillId="4" borderId="0" xfId="0" applyFont="1" applyFill="1" applyBorder="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ont="1" applyFill="1" applyAlignment="1" applyProtection="1">
      <alignment horizontal="left" vertical="top" wrapText="1"/>
      <protection hidden="1"/>
    </xf>
    <xf numFmtId="0" fontId="0" fillId="4" borderId="0" xfId="0" applyFont="1" applyFill="1" applyProtection="1">
      <protection hidden="1"/>
    </xf>
    <xf numFmtId="0" fontId="9" fillId="4" borderId="0" xfId="0" applyFont="1" applyFill="1" applyBorder="1" applyAlignment="1" applyProtection="1">
      <alignment horizontal="left" vertical="center" wrapText="1"/>
      <protection hidden="1"/>
    </xf>
    <xf numFmtId="0" fontId="33" fillId="2" borderId="0" xfId="0" applyFont="1" applyFill="1" applyProtection="1">
      <protection hidden="1"/>
    </xf>
    <xf numFmtId="0" fontId="0" fillId="2" borderId="0" xfId="0" applyFont="1"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hidden="1"/>
    </xf>
    <xf numFmtId="0" fontId="0" fillId="2" borderId="0" xfId="0" applyFill="1" applyBorder="1" applyAlignment="1" applyProtection="1">
      <alignment horizontal="left"/>
      <protection hidden="1"/>
    </xf>
    <xf numFmtId="0" fontId="0" fillId="8" borderId="0" xfId="0" applyFont="1"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ont="1" applyFill="1" applyBorder="1"/>
    <xf numFmtId="0" fontId="23" fillId="10" borderId="10" xfId="0" applyFont="1" applyFill="1" applyBorder="1" applyAlignment="1" applyProtection="1">
      <alignment wrapText="1"/>
      <protection hidden="1"/>
    </xf>
    <xf numFmtId="0" fontId="23" fillId="6" borderId="0" xfId="0" applyFont="1" applyFill="1" applyBorder="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Fill="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Fill="1" applyBorder="1" applyAlignment="1" applyProtection="1">
      <alignment vertical="center"/>
      <protection hidden="1"/>
    </xf>
    <xf numFmtId="0" fontId="0" fillId="8" borderId="0" xfId="0" applyFill="1" applyProtection="1">
      <protection hidden="1"/>
    </xf>
    <xf numFmtId="0" fontId="0" fillId="8" borderId="0" xfId="0" applyFill="1" applyBorder="1" applyProtection="1">
      <protection hidden="1"/>
    </xf>
    <xf numFmtId="0" fontId="0" fillId="2" borderId="0" xfId="0" applyFill="1" applyBorder="1" applyAlignment="1" applyProtection="1">
      <protection hidden="1"/>
    </xf>
    <xf numFmtId="0" fontId="0" fillId="0" borderId="0" xfId="0" applyProtection="1"/>
    <xf numFmtId="0" fontId="0" fillId="0" borderId="0" xfId="0" applyFill="1" applyProtection="1"/>
    <xf numFmtId="0" fontId="0" fillId="2" borderId="0" xfId="0" applyFont="1" applyFill="1" applyProtection="1"/>
    <xf numFmtId="0" fontId="0" fillId="0" borderId="0" xfId="0" applyBorder="1" applyProtection="1"/>
    <xf numFmtId="0" fontId="30" fillId="2" borderId="0"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1" fillId="2" borderId="1" xfId="0" applyFont="1" applyFill="1" applyBorder="1" applyProtection="1"/>
    <xf numFmtId="0" fontId="7" fillId="3" borderId="34"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1" fillId="5" borderId="31" xfId="0" applyFont="1" applyFill="1" applyBorder="1" applyAlignment="1" applyProtection="1">
      <alignment horizontal="left" vertical="center"/>
    </xf>
    <xf numFmtId="0" fontId="0" fillId="4" borderId="0" xfId="0" applyFill="1" applyProtection="1"/>
    <xf numFmtId="0" fontId="1" fillId="5" borderId="27"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1" fillId="5" borderId="26" xfId="0" applyFont="1" applyFill="1" applyBorder="1" applyAlignment="1" applyProtection="1">
      <alignment vertical="center"/>
    </xf>
    <xf numFmtId="0" fontId="38" fillId="2" borderId="40" xfId="0" applyFont="1" applyFill="1" applyBorder="1" applyProtection="1"/>
    <xf numFmtId="0" fontId="0" fillId="2" borderId="0" xfId="0" applyFont="1" applyFill="1" applyBorder="1" applyProtection="1"/>
    <xf numFmtId="0" fontId="0" fillId="4" borderId="0" xfId="0" applyFont="1" applyFill="1" applyBorder="1" applyProtection="1"/>
    <xf numFmtId="0" fontId="41" fillId="2" borderId="96" xfId="0" applyFont="1" applyFill="1" applyBorder="1" applyAlignment="1" applyProtection="1">
      <alignment horizontal="left" vertical="top" wrapText="1"/>
    </xf>
    <xf numFmtId="0" fontId="29" fillId="2" borderId="0" xfId="0" applyFont="1" applyFill="1" applyBorder="1" applyAlignment="1" applyProtection="1">
      <alignment horizontal="left" wrapText="1"/>
    </xf>
    <xf numFmtId="0" fontId="29" fillId="2" borderId="97" xfId="0" applyFont="1" applyFill="1" applyBorder="1" applyAlignment="1" applyProtection="1">
      <alignment horizontal="left" wrapText="1"/>
    </xf>
    <xf numFmtId="0" fontId="29" fillId="2" borderId="97" xfId="0" applyFont="1" applyFill="1" applyBorder="1" applyAlignment="1" applyProtection="1">
      <alignment vertical="top" wrapText="1"/>
    </xf>
    <xf numFmtId="0" fontId="29" fillId="2" borderId="35" xfId="0" applyFont="1" applyFill="1" applyBorder="1" applyAlignment="1" applyProtection="1">
      <alignment horizontal="center" vertical="top" wrapText="1"/>
    </xf>
    <xf numFmtId="0" fontId="0" fillId="4" borderId="0" xfId="0" applyFill="1" applyAlignment="1" applyProtection="1">
      <alignment vertical="top" wrapText="1"/>
    </xf>
    <xf numFmtId="0" fontId="26" fillId="5" borderId="37" xfId="0" applyFont="1" applyFill="1" applyBorder="1" applyAlignment="1" applyProtection="1">
      <alignment horizontal="center" vertical="center"/>
    </xf>
    <xf numFmtId="164" fontId="26" fillId="5" borderId="24" xfId="0" applyNumberFormat="1" applyFont="1" applyFill="1" applyBorder="1" applyAlignment="1" applyProtection="1">
      <alignment horizontal="center" vertical="center"/>
    </xf>
    <xf numFmtId="0" fontId="0" fillId="5" borderId="24" xfId="0" applyFill="1" applyBorder="1" applyAlignment="1" applyProtection="1">
      <alignment vertical="center"/>
    </xf>
    <xf numFmtId="0" fontId="37" fillId="5" borderId="89" xfId="0" applyFont="1" applyFill="1" applyBorder="1" applyAlignment="1" applyProtection="1">
      <alignment horizontal="center" vertical="center"/>
    </xf>
    <xf numFmtId="164" fontId="37" fillId="5" borderId="88" xfId="0" applyNumberFormat="1" applyFont="1" applyFill="1" applyBorder="1" applyAlignment="1" applyProtection="1">
      <alignment horizontal="center" vertical="center"/>
    </xf>
    <xf numFmtId="0" fontId="0" fillId="5" borderId="26" xfId="0" applyFill="1" applyBorder="1" applyAlignment="1" applyProtection="1">
      <alignment horizontal="left" vertical="center"/>
    </xf>
    <xf numFmtId="0" fontId="26" fillId="5" borderId="26" xfId="0" applyFont="1" applyFill="1" applyBorder="1" applyAlignment="1" applyProtection="1">
      <alignment vertical="center"/>
    </xf>
    <xf numFmtId="0" fontId="0" fillId="5" borderId="26" xfId="0" applyFill="1" applyBorder="1" applyAlignment="1" applyProtection="1">
      <alignment vertical="center"/>
    </xf>
    <xf numFmtId="0" fontId="0" fillId="0" borderId="0" xfId="0" applyFont="1" applyProtection="1"/>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applyProtection="1"/>
    <xf numFmtId="0" fontId="23" fillId="10" borderId="52" xfId="0" applyFont="1" applyFill="1" applyBorder="1" applyProtection="1"/>
    <xf numFmtId="1" fontId="0" fillId="0" borderId="0" xfId="0" applyNumberFormat="1" applyProtection="1"/>
    <xf numFmtId="0" fontId="32" fillId="9" borderId="52" xfId="0" applyFont="1" applyFill="1" applyBorder="1" applyAlignment="1" applyProtection="1">
      <alignment horizontal="center"/>
    </xf>
    <xf numFmtId="0" fontId="0" fillId="0" borderId="0" xfId="0" applyAlignment="1" applyProtection="1">
      <alignment horizontal="right"/>
    </xf>
    <xf numFmtId="0" fontId="0" fillId="8" borderId="63" xfId="0" applyFont="1" applyFill="1" applyBorder="1" applyProtection="1"/>
    <xf numFmtId="0" fontId="0" fillId="8" borderId="64" xfId="0" applyFont="1" applyFill="1" applyBorder="1" applyProtection="1"/>
    <xf numFmtId="0" fontId="0" fillId="8" borderId="52" xfId="0" applyFill="1" applyBorder="1" applyAlignment="1" applyProtection="1">
      <alignment horizontal="center" vertical="center"/>
    </xf>
    <xf numFmtId="0" fontId="23" fillId="10" borderId="63" xfId="0" applyFont="1" applyFill="1" applyBorder="1" applyProtection="1"/>
    <xf numFmtId="0" fontId="23" fillId="10" borderId="64" xfId="0" applyFont="1" applyFill="1" applyBorder="1" applyProtection="1"/>
    <xf numFmtId="0" fontId="23" fillId="10" borderId="72" xfId="0" applyFont="1" applyFill="1" applyBorder="1" applyProtection="1"/>
    <xf numFmtId="0" fontId="0" fillId="10" borderId="53" xfId="0" applyFill="1" applyBorder="1" applyProtection="1"/>
    <xf numFmtId="0" fontId="0" fillId="10" borderId="54" xfId="0" applyFill="1" applyBorder="1" applyProtection="1"/>
    <xf numFmtId="0" fontId="0" fillId="8" borderId="68" xfId="0" applyFill="1" applyBorder="1" applyProtection="1"/>
    <xf numFmtId="0" fontId="23" fillId="10" borderId="80" xfId="0" applyFont="1" applyFill="1" applyBorder="1" applyProtection="1"/>
    <xf numFmtId="0" fontId="23" fillId="10" borderId="81" xfId="0" applyFont="1" applyFill="1" applyBorder="1" applyProtection="1"/>
    <xf numFmtId="0" fontId="23" fillId="10" borderId="82" xfId="0" applyFont="1" applyFill="1" applyBorder="1" applyProtection="1"/>
    <xf numFmtId="0" fontId="23" fillId="10" borderId="65" xfId="0" applyFont="1" applyFill="1" applyBorder="1" applyProtection="1"/>
    <xf numFmtId="0" fontId="23" fillId="10" borderId="83" xfId="0" applyFont="1" applyFill="1" applyBorder="1" applyProtection="1"/>
    <xf numFmtId="0" fontId="23" fillId="10" borderId="66" xfId="0" applyFont="1" applyFill="1" applyBorder="1" applyProtection="1"/>
    <xf numFmtId="0" fontId="23" fillId="10" borderId="9" xfId="0" applyFont="1" applyFill="1" applyBorder="1" applyProtection="1"/>
    <xf numFmtId="0" fontId="23" fillId="10" borderId="58" xfId="0" applyFont="1" applyFill="1" applyBorder="1" applyProtection="1"/>
    <xf numFmtId="0" fontId="23" fillId="10" borderId="59" xfId="0" applyFont="1" applyFill="1" applyBorder="1" applyProtection="1"/>
    <xf numFmtId="0" fontId="0" fillId="10" borderId="60" xfId="0" applyFill="1" applyBorder="1" applyProtection="1"/>
    <xf numFmtId="0" fontId="23" fillId="10" borderId="99" xfId="0" applyFont="1" applyFill="1" applyBorder="1" applyProtection="1"/>
    <xf numFmtId="0" fontId="23" fillId="10" borderId="60" xfId="0" applyFont="1" applyFill="1" applyBorder="1" applyProtection="1"/>
    <xf numFmtId="0" fontId="0" fillId="0" borderId="61" xfId="0" applyBorder="1" applyProtection="1"/>
    <xf numFmtId="0" fontId="0" fillId="0" borderId="5" xfId="0" applyBorder="1" applyProtection="1"/>
    <xf numFmtId="0" fontId="0" fillId="0" borderId="75" xfId="0" applyFill="1" applyBorder="1" applyProtection="1"/>
    <xf numFmtId="0" fontId="0" fillId="0" borderId="56" xfId="0" applyBorder="1" applyProtection="1"/>
    <xf numFmtId="0" fontId="0" fillId="0" borderId="2" xfId="0" applyBorder="1" applyProtection="1"/>
    <xf numFmtId="0" fontId="0" fillId="0" borderId="4" xfId="0" applyBorder="1" applyProtection="1"/>
    <xf numFmtId="0" fontId="0" fillId="0" borderId="69" xfId="0" applyBorder="1" applyProtection="1"/>
    <xf numFmtId="0" fontId="0" fillId="0" borderId="76" xfId="0" applyBorder="1" applyProtection="1"/>
    <xf numFmtId="10" fontId="0" fillId="12" borderId="0" xfId="0" applyNumberFormat="1" applyFill="1" applyProtection="1"/>
    <xf numFmtId="0" fontId="26" fillId="12" borderId="2" xfId="0" applyFont="1" applyFill="1" applyBorder="1" applyAlignment="1" applyProtection="1">
      <alignment horizontal="center" vertical="center"/>
    </xf>
    <xf numFmtId="1" fontId="0" fillId="12" borderId="53" xfId="0" applyNumberFormat="1" applyFill="1" applyBorder="1" applyAlignment="1" applyProtection="1">
      <alignment horizontal="right"/>
    </xf>
    <xf numFmtId="0" fontId="0" fillId="0" borderId="53" xfId="0" applyFill="1" applyBorder="1" applyAlignment="1" applyProtection="1">
      <alignment horizontal="right"/>
    </xf>
    <xf numFmtId="0" fontId="0" fillId="0" borderId="54" xfId="0" applyFill="1" applyBorder="1" applyAlignment="1" applyProtection="1">
      <alignment horizontal="right"/>
    </xf>
    <xf numFmtId="1" fontId="0" fillId="0" borderId="4" xfId="0" applyNumberFormat="1" applyFill="1" applyBorder="1" applyAlignment="1" applyProtection="1">
      <alignment horizontal="right"/>
    </xf>
    <xf numFmtId="0" fontId="0" fillId="0" borderId="54" xfId="0" applyBorder="1" applyProtection="1"/>
    <xf numFmtId="0" fontId="0" fillId="0" borderId="55" xfId="0" applyBorder="1" applyProtection="1"/>
    <xf numFmtId="0" fontId="0" fillId="12" borderId="2" xfId="0" applyFill="1" applyBorder="1" applyProtection="1"/>
    <xf numFmtId="0" fontId="0" fillId="12" borderId="57" xfId="0" applyFill="1" applyBorder="1" applyProtection="1"/>
    <xf numFmtId="1" fontId="0" fillId="12" borderId="2" xfId="0" applyNumberFormat="1" applyFill="1" applyBorder="1" applyAlignment="1" applyProtection="1">
      <alignment horizontal="right"/>
    </xf>
    <xf numFmtId="0" fontId="0" fillId="0" borderId="56" xfId="0" applyFill="1" applyBorder="1" applyAlignment="1" applyProtection="1">
      <alignment horizontal="right"/>
    </xf>
    <xf numFmtId="0" fontId="0" fillId="0" borderId="2" xfId="0" applyFill="1" applyBorder="1" applyAlignment="1" applyProtection="1">
      <alignment horizontal="right"/>
    </xf>
    <xf numFmtId="1" fontId="0" fillId="0" borderId="4" xfId="0" applyNumberFormat="1" applyFill="1" applyBorder="1" applyProtection="1"/>
    <xf numFmtId="0" fontId="0" fillId="0" borderId="57" xfId="0" applyBorder="1" applyProtection="1"/>
    <xf numFmtId="1" fontId="0" fillId="12" borderId="57" xfId="0" applyNumberFormat="1" applyFill="1" applyBorder="1" applyAlignment="1" applyProtection="1">
      <alignment horizontal="right"/>
    </xf>
    <xf numFmtId="0" fontId="0" fillId="0" borderId="4" xfId="0" applyFill="1" applyBorder="1" applyAlignment="1" applyProtection="1">
      <alignment horizontal="right"/>
    </xf>
    <xf numFmtId="0" fontId="0" fillId="0" borderId="56" xfId="0" applyFill="1" applyBorder="1" applyProtection="1"/>
    <xf numFmtId="0" fontId="0" fillId="0" borderId="2" xfId="0" applyFill="1" applyBorder="1" applyProtection="1"/>
    <xf numFmtId="0" fontId="0" fillId="0" borderId="4" xfId="0" applyFill="1" applyBorder="1" applyProtection="1"/>
    <xf numFmtId="10" fontId="0" fillId="0" borderId="2" xfId="0" applyNumberFormat="1" applyFill="1" applyBorder="1" applyProtection="1"/>
    <xf numFmtId="0" fontId="0" fillId="0" borderId="66" xfId="0" applyBorder="1" applyProtection="1"/>
    <xf numFmtId="0" fontId="0" fillId="0" borderId="3" xfId="0" applyBorder="1" applyProtection="1"/>
    <xf numFmtId="0" fontId="0" fillId="0" borderId="58" xfId="0" applyFill="1" applyBorder="1" applyProtection="1"/>
    <xf numFmtId="10" fontId="0" fillId="0" borderId="59" xfId="0" applyNumberFormat="1" applyFill="1" applyBorder="1" applyProtection="1"/>
    <xf numFmtId="0" fontId="0" fillId="0" borderId="59" xfId="0" applyFill="1" applyBorder="1" applyProtection="1"/>
    <xf numFmtId="0" fontId="0" fillId="0" borderId="78" xfId="0" applyFill="1" applyBorder="1" applyProtection="1"/>
    <xf numFmtId="0" fontId="0" fillId="0" borderId="58" xfId="0" applyFill="1" applyBorder="1" applyAlignment="1" applyProtection="1">
      <alignment horizontal="right"/>
    </xf>
    <xf numFmtId="0" fontId="0" fillId="0" borderId="59" xfId="0" applyBorder="1" applyProtection="1"/>
    <xf numFmtId="0" fontId="0" fillId="0" borderId="60" xfId="0" applyBorder="1" applyProtection="1"/>
    <xf numFmtId="0" fontId="32" fillId="13" borderId="63" xfId="0" applyFont="1" applyFill="1" applyBorder="1" applyProtection="1"/>
    <xf numFmtId="0" fontId="32" fillId="13" borderId="64" xfId="0" applyFont="1" applyFill="1" applyBorder="1" applyProtection="1"/>
    <xf numFmtId="0" fontId="32" fillId="13" borderId="72" xfId="0" applyFont="1" applyFill="1" applyBorder="1" applyProtection="1"/>
    <xf numFmtId="0" fontId="0" fillId="13" borderId="58" xfId="0" applyFill="1" applyBorder="1" applyProtection="1"/>
    <xf numFmtId="0" fontId="0" fillId="13" borderId="59" xfId="0" applyFill="1" applyBorder="1" applyProtection="1"/>
    <xf numFmtId="0" fontId="0" fillId="13" borderId="78" xfId="0" applyFill="1" applyBorder="1" applyProtection="1"/>
    <xf numFmtId="0" fontId="0" fillId="13" borderId="70" xfId="0" applyFill="1" applyBorder="1" applyProtection="1"/>
    <xf numFmtId="10" fontId="0" fillId="13" borderId="0" xfId="0" applyNumberFormat="1" applyFill="1" applyProtection="1"/>
    <xf numFmtId="10" fontId="0" fillId="0" borderId="0" xfId="0" applyNumberFormat="1" applyFill="1" applyProtection="1"/>
    <xf numFmtId="0" fontId="0" fillId="9" borderId="53" xfId="0" applyFill="1" applyBorder="1" applyProtection="1"/>
    <xf numFmtId="0" fontId="0" fillId="9" borderId="54" xfId="0" applyFill="1" applyBorder="1" applyProtection="1"/>
    <xf numFmtId="0" fontId="0" fillId="0" borderId="71" xfId="0" applyFill="1" applyBorder="1" applyProtection="1"/>
    <xf numFmtId="0" fontId="0" fillId="0" borderId="71" xfId="0" applyBorder="1" applyProtection="1"/>
    <xf numFmtId="0" fontId="26" fillId="12" borderId="7" xfId="0" applyFont="1" applyFill="1" applyBorder="1" applyAlignment="1" applyProtection="1">
      <alignment horizontal="center" vertical="center"/>
    </xf>
    <xf numFmtId="0" fontId="0" fillId="12" borderId="53" xfId="0" applyFill="1" applyBorder="1" applyProtection="1"/>
    <xf numFmtId="0" fontId="0" fillId="12" borderId="54" xfId="0" applyFill="1" applyBorder="1" applyProtection="1"/>
    <xf numFmtId="0" fontId="0" fillId="12" borderId="55" xfId="0" applyFill="1" applyBorder="1" applyProtection="1"/>
    <xf numFmtId="0" fontId="0" fillId="0" borderId="53" xfId="0" applyFill="1" applyBorder="1" applyProtection="1"/>
    <xf numFmtId="0" fontId="0" fillId="0" borderId="54" xfId="0" applyFill="1" applyBorder="1" applyProtection="1"/>
    <xf numFmtId="0" fontId="0" fillId="0" borderId="77" xfId="0" applyFill="1" applyBorder="1" applyProtection="1"/>
    <xf numFmtId="0" fontId="0" fillId="0" borderId="69" xfId="0" applyFill="1" applyBorder="1" applyProtection="1"/>
    <xf numFmtId="0" fontId="0" fillId="8" borderId="56" xfId="0" applyFill="1" applyBorder="1" applyProtection="1"/>
    <xf numFmtId="0" fontId="42" fillId="0" borderId="0" xfId="0" applyFont="1" applyProtection="1"/>
    <xf numFmtId="0" fontId="0" fillId="0" borderId="59" xfId="0" applyFill="1" applyBorder="1" applyAlignment="1" applyProtection="1">
      <alignment horizontal="right"/>
    </xf>
    <xf numFmtId="0" fontId="0" fillId="0" borderId="78" xfId="0" applyFill="1" applyBorder="1" applyAlignment="1" applyProtection="1">
      <alignment horizontal="right"/>
    </xf>
    <xf numFmtId="0" fontId="32" fillId="13" borderId="52" xfId="0" applyFont="1" applyFill="1" applyBorder="1" applyProtection="1"/>
    <xf numFmtId="0" fontId="0" fillId="8" borderId="52" xfId="0" applyFill="1" applyBorder="1" applyProtection="1"/>
    <xf numFmtId="0" fontId="0" fillId="0" borderId="77" xfId="0" applyFill="1" applyBorder="1" applyAlignment="1" applyProtection="1">
      <alignment horizontal="right"/>
    </xf>
    <xf numFmtId="0" fontId="0" fillId="0" borderId="58" xfId="0" applyBorder="1" applyProtection="1"/>
    <xf numFmtId="0" fontId="0" fillId="8" borderId="2" xfId="0" applyFill="1" applyBorder="1" applyProtection="1"/>
    <xf numFmtId="0" fontId="0" fillId="0" borderId="85" xfId="0" applyBorder="1" applyProtection="1"/>
    <xf numFmtId="0" fontId="0" fillId="12" borderId="15" xfId="0" applyFill="1" applyBorder="1" applyProtection="1"/>
    <xf numFmtId="0" fontId="0" fillId="12" borderId="86" xfId="0" applyFill="1" applyBorder="1" applyProtection="1"/>
    <xf numFmtId="10" fontId="0" fillId="11" borderId="0" xfId="0" applyNumberFormat="1" applyFill="1" applyProtection="1"/>
    <xf numFmtId="0" fontId="0" fillId="0" borderId="0" xfId="0" applyFill="1" applyAlignment="1" applyProtection="1">
      <alignment horizontal="right"/>
    </xf>
    <xf numFmtId="0" fontId="0" fillId="0" borderId="0" xfId="0" applyFill="1" applyBorder="1" applyAlignment="1" applyProtection="1">
      <alignment horizontal="right"/>
    </xf>
    <xf numFmtId="0" fontId="0" fillId="9" borderId="68" xfId="0" applyFill="1" applyBorder="1" applyProtection="1"/>
    <xf numFmtId="0" fontId="0" fillId="9" borderId="79" xfId="0" applyFill="1" applyBorder="1" applyProtection="1"/>
    <xf numFmtId="0" fontId="0" fillId="0" borderId="7" xfId="0" applyBorder="1" applyProtection="1"/>
    <xf numFmtId="10" fontId="0" fillId="12" borderId="0" xfId="0" applyNumberFormat="1" applyFill="1" applyAlignment="1" applyProtection="1">
      <alignment horizontal="center"/>
    </xf>
    <xf numFmtId="0" fontId="0" fillId="0" borderId="70" xfId="0" applyBorder="1" applyProtection="1"/>
    <xf numFmtId="0" fontId="0" fillId="0" borderId="0" xfId="0" applyFill="1" applyBorder="1" applyProtection="1"/>
    <xf numFmtId="0" fontId="0" fillId="8" borderId="79" xfId="0" applyFill="1" applyBorder="1" applyProtection="1"/>
    <xf numFmtId="0" fontId="0" fillId="0" borderId="21" xfId="0" applyBorder="1" applyProtection="1"/>
    <xf numFmtId="9" fontId="0" fillId="0" borderId="22" xfId="0" applyNumberFormat="1" applyBorder="1" applyProtection="1"/>
    <xf numFmtId="0" fontId="0" fillId="0" borderId="22" xfId="0" applyBorder="1" applyProtection="1"/>
    <xf numFmtId="0" fontId="0" fillId="0" borderId="23" xfId="0" applyBorder="1" applyProtection="1"/>
    <xf numFmtId="0" fontId="0" fillId="0" borderId="16" xfId="0" applyBorder="1" applyProtection="1"/>
    <xf numFmtId="9" fontId="0" fillId="0" borderId="0" xfId="0" applyNumberFormat="1" applyBorder="1" applyProtection="1"/>
    <xf numFmtId="0" fontId="0" fillId="0" borderId="17" xfId="0" applyBorder="1" applyProtection="1"/>
    <xf numFmtId="0" fontId="23" fillId="10" borderId="0" xfId="0" applyFont="1" applyFill="1" applyProtection="1"/>
    <xf numFmtId="0" fontId="0" fillId="0" borderId="72" xfId="0" applyFont="1" applyBorder="1" applyProtection="1"/>
    <xf numFmtId="0" fontId="0" fillId="0" borderId="73" xfId="0" applyFont="1" applyBorder="1" applyProtection="1"/>
    <xf numFmtId="0" fontId="0" fillId="0" borderId="74" xfId="0" applyFont="1" applyBorder="1" applyProtection="1"/>
    <xf numFmtId="0" fontId="0" fillId="0" borderId="52" xfId="0" applyBorder="1" applyProtection="1"/>
    <xf numFmtId="0" fontId="0" fillId="0" borderId="18" xfId="0" applyBorder="1" applyProtection="1"/>
    <xf numFmtId="9" fontId="0" fillId="0" borderId="19" xfId="0" applyNumberFormat="1" applyBorder="1" applyProtection="1"/>
    <xf numFmtId="0" fontId="0" fillId="0" borderId="19" xfId="0" applyBorder="1" applyProtection="1"/>
    <xf numFmtId="0" fontId="0" fillId="0" borderId="20" xfId="0" applyBorder="1" applyProtection="1"/>
    <xf numFmtId="0" fontId="0" fillId="10" borderId="0" xfId="0" applyFill="1" applyProtection="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pplyProtection="1">
      <alignment vertical="top"/>
    </xf>
    <xf numFmtId="0" fontId="19" fillId="3" borderId="1" xfId="0" applyFont="1" applyFill="1" applyBorder="1" applyAlignment="1" applyProtection="1">
      <alignment vertical="top" wrapText="1"/>
    </xf>
    <xf numFmtId="0" fontId="29" fillId="2" borderId="111" xfId="0" applyFont="1" applyFill="1" applyBorder="1" applyAlignment="1" applyProtection="1">
      <alignment vertical="top" wrapText="1"/>
    </xf>
    <xf numFmtId="0" fontId="29" fillId="2" borderId="112" xfId="0" applyFont="1" applyFill="1" applyBorder="1" applyAlignment="1" applyProtection="1">
      <alignment horizontal="left" wrapText="1"/>
    </xf>
    <xf numFmtId="0" fontId="0" fillId="4" borderId="0" xfId="0" applyFill="1" applyAlignment="1" applyProtection="1">
      <alignment wrapText="1"/>
    </xf>
    <xf numFmtId="164" fontId="9" fillId="5" borderId="26" xfId="2" applyNumberFormat="1" applyFont="1" applyFill="1" applyBorder="1" applyAlignment="1" applyProtection="1">
      <alignment horizontal="left" vertical="center"/>
    </xf>
    <xf numFmtId="0" fontId="39" fillId="2" borderId="0" xfId="0" applyFont="1" applyFill="1" applyBorder="1" applyAlignment="1" applyProtection="1">
      <alignment horizontal="left" vertical="center"/>
      <protection hidden="1"/>
    </xf>
    <xf numFmtId="0" fontId="9" fillId="4" borderId="0" xfId="0" applyFont="1" applyFill="1" applyAlignment="1" applyProtection="1">
      <alignment horizontal="left" vertical="top" wrapText="1"/>
    </xf>
    <xf numFmtId="0" fontId="23" fillId="6" borderId="0" xfId="0" applyFont="1" applyFill="1" applyBorder="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4" borderId="0" xfId="0" applyFill="1" applyBorder="1" applyAlignment="1" applyProtection="1">
      <alignment wrapText="1"/>
    </xf>
    <xf numFmtId="0" fontId="0" fillId="2" borderId="0" xfId="0" applyFill="1" applyBorder="1" applyAlignment="1" applyProtection="1">
      <alignment horizontal="right"/>
      <protection hidden="1"/>
    </xf>
    <xf numFmtId="0" fontId="0" fillId="2" borderId="0" xfId="0" applyFill="1" applyBorder="1" applyAlignment="1" applyProtection="1">
      <alignment wrapText="1"/>
      <protection hidden="1"/>
    </xf>
    <xf numFmtId="0" fontId="0" fillId="2" borderId="0" xfId="0" applyFill="1" applyBorder="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pplyProtection="1">
      <alignment vertical="top" wrapText="1"/>
    </xf>
    <xf numFmtId="0" fontId="29" fillId="2" borderId="112" xfId="0" applyFont="1" applyFill="1" applyBorder="1" applyAlignment="1" applyProtection="1">
      <alignment horizontal="center" vertical="top" wrapText="1"/>
    </xf>
    <xf numFmtId="0" fontId="48" fillId="4" borderId="1" xfId="0" applyFont="1" applyFill="1" applyBorder="1" applyAlignment="1" applyProtection="1">
      <alignment horizontal="left"/>
    </xf>
    <xf numFmtId="0" fontId="46" fillId="4" borderId="0" xfId="0" applyFont="1" applyFill="1" applyAlignment="1" applyProtection="1">
      <alignment horizontal="left"/>
      <protection hidden="1"/>
    </xf>
    <xf numFmtId="0" fontId="24" fillId="0" borderId="2" xfId="0" applyFont="1" applyBorder="1" applyProtection="1"/>
    <xf numFmtId="0" fontId="24" fillId="0" borderId="5" xfId="0" applyFont="1" applyBorder="1" applyProtection="1"/>
    <xf numFmtId="0" fontId="24" fillId="0" borderId="2" xfId="0" applyFont="1" applyFill="1" applyBorder="1" applyProtection="1"/>
    <xf numFmtId="1" fontId="0" fillId="12" borderId="54" xfId="0" applyNumberFormat="1" applyFill="1" applyBorder="1" applyAlignment="1" applyProtection="1">
      <alignment horizontal="right"/>
    </xf>
    <xf numFmtId="1" fontId="0" fillId="12" borderId="56" xfId="0" applyNumberFormat="1" applyFill="1" applyBorder="1" applyAlignment="1" applyProtection="1">
      <alignment horizontal="right"/>
    </xf>
    <xf numFmtId="1" fontId="0" fillId="12" borderId="56" xfId="0" applyNumberFormat="1" applyFill="1" applyBorder="1" applyProtection="1"/>
    <xf numFmtId="1" fontId="0" fillId="12" borderId="2" xfId="0" applyNumberFormat="1" applyFill="1" applyBorder="1" applyProtection="1"/>
    <xf numFmtId="1" fontId="0" fillId="12" borderId="57" xfId="0" applyNumberFormat="1" applyFill="1" applyBorder="1" applyProtection="1"/>
    <xf numFmtId="1" fontId="0" fillId="12" borderId="58" xfId="0" applyNumberFormat="1" applyFill="1" applyBorder="1" applyProtection="1"/>
    <xf numFmtId="1" fontId="0" fillId="12" borderId="59" xfId="0" applyNumberFormat="1" applyFill="1" applyBorder="1" applyProtection="1"/>
    <xf numFmtId="1" fontId="0" fillId="12" borderId="60" xfId="0" applyNumberFormat="1" applyFill="1" applyBorder="1" applyProtection="1"/>
    <xf numFmtId="1" fontId="0" fillId="12" borderId="53" xfId="0" applyNumberFormat="1" applyFill="1" applyBorder="1" applyProtection="1"/>
    <xf numFmtId="1" fontId="0" fillId="12" borderId="54" xfId="0" applyNumberFormat="1" applyFill="1" applyBorder="1" applyProtection="1"/>
    <xf numFmtId="1" fontId="0" fillId="12" borderId="55" xfId="0" applyNumberFormat="1" applyFill="1" applyBorder="1" applyProtection="1"/>
    <xf numFmtId="1" fontId="0" fillId="12" borderId="58" xfId="0" applyNumberFormat="1" applyFill="1" applyBorder="1" applyAlignment="1" applyProtection="1">
      <alignment horizontal="right"/>
    </xf>
    <xf numFmtId="1" fontId="0" fillId="12" borderId="59" xfId="0" applyNumberFormat="1" applyFill="1" applyBorder="1" applyAlignment="1" applyProtection="1">
      <alignment horizontal="right"/>
    </xf>
    <xf numFmtId="1" fontId="0" fillId="12" borderId="60" xfId="0" applyNumberFormat="1" applyFill="1" applyBorder="1" applyAlignment="1" applyProtection="1">
      <alignment horizontal="right"/>
    </xf>
    <xf numFmtId="1" fontId="24" fillId="12" borderId="2" xfId="0" applyNumberFormat="1" applyFont="1" applyFill="1" applyBorder="1" applyAlignment="1" applyProtection="1">
      <alignment horizontal="right"/>
    </xf>
    <xf numFmtId="1" fontId="24" fillId="12" borderId="56" xfId="0" applyNumberFormat="1" applyFont="1" applyFill="1" applyBorder="1" applyProtection="1"/>
    <xf numFmtId="1" fontId="24" fillId="12" borderId="2" xfId="0" applyNumberFormat="1" applyFont="1" applyFill="1" applyBorder="1" applyProtection="1"/>
    <xf numFmtId="1" fontId="24" fillId="12" borderId="57" xfId="0" applyNumberFormat="1" applyFont="1" applyFill="1" applyBorder="1" applyProtection="1"/>
    <xf numFmtId="1" fontId="24" fillId="12" borderId="54" xfId="0" applyNumberFormat="1" applyFont="1" applyFill="1" applyBorder="1" applyProtection="1"/>
    <xf numFmtId="0" fontId="0" fillId="12" borderId="116" xfId="0" applyFill="1" applyBorder="1" applyProtection="1"/>
    <xf numFmtId="0" fontId="0" fillId="12" borderId="84" xfId="0" applyFill="1" applyBorder="1" applyProtection="1"/>
    <xf numFmtId="0" fontId="0" fillId="12" borderId="117" xfId="0" applyFill="1" applyBorder="1" applyProtection="1"/>
    <xf numFmtId="0" fontId="0" fillId="12" borderId="56" xfId="0" applyFill="1" applyBorder="1" applyProtection="1"/>
    <xf numFmtId="0" fontId="0" fillId="0" borderId="53" xfId="0" applyBorder="1" applyProtection="1"/>
    <xf numFmtId="0" fontId="0" fillId="0" borderId="15" xfId="0" applyBorder="1" applyProtection="1"/>
    <xf numFmtId="0" fontId="23" fillId="6" borderId="45" xfId="0" applyFont="1" applyFill="1" applyBorder="1" applyAlignment="1" applyProtection="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0" fillId="2" borderId="0" xfId="0" applyFill="1" applyBorder="1" applyAlignment="1" applyProtection="1">
      <alignment vertic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28" fillId="6" borderId="0" xfId="0" applyFont="1" applyFill="1" applyBorder="1" applyAlignment="1" applyProtection="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Border="1" applyAlignment="1" applyProtection="1">
      <alignment horizontal="left" vertical="center" wrapText="1"/>
    </xf>
    <xf numFmtId="0" fontId="28" fillId="6" borderId="0" xfId="0" applyFont="1" applyFill="1" applyBorder="1" applyAlignment="1" applyProtection="1">
      <alignment horizontal="left" vertical="center" wrapText="1"/>
    </xf>
    <xf numFmtId="164" fontId="23" fillId="6" borderId="45" xfId="0" applyNumberFormat="1" applyFont="1" applyFill="1" applyBorder="1" applyAlignment="1" applyProtection="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xf>
    <xf numFmtId="0" fontId="32" fillId="5" borderId="88" xfId="0" applyFont="1" applyFill="1" applyBorder="1" applyAlignment="1" applyProtection="1">
      <alignment horizontal="left" vertical="center" wrapText="1"/>
    </xf>
    <xf numFmtId="0" fontId="0" fillId="0" borderId="2" xfId="0" applyFill="1" applyBorder="1" applyProtection="1">
      <protection hidden="1"/>
    </xf>
    <xf numFmtId="0" fontId="0" fillId="2" borderId="0" xfId="0" applyFill="1" applyBorder="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applyProtection="1"/>
    <xf numFmtId="0" fontId="0" fillId="18" borderId="74" xfId="0" applyFill="1" applyBorder="1" applyProtection="1"/>
    <xf numFmtId="0" fontId="23" fillId="10" borderId="77" xfId="0" applyFont="1" applyFill="1" applyBorder="1" applyProtection="1"/>
    <xf numFmtId="0" fontId="0" fillId="0" borderId="0" xfId="0"/>
    <xf numFmtId="0" fontId="51" fillId="4" borderId="0" xfId="0" applyFont="1" applyFill="1" applyBorder="1" applyAlignment="1">
      <alignment horizontal="left" vertical="top" wrapText="1"/>
    </xf>
    <xf numFmtId="0" fontId="50" fillId="0" borderId="0" xfId="0" applyFont="1" applyBorder="1"/>
    <xf numFmtId="0" fontId="51" fillId="0" borderId="0" xfId="0" applyFont="1" applyBorder="1"/>
    <xf numFmtId="0" fontId="51"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Border="1" applyAlignment="1" applyProtection="1">
      <alignment vertical="top"/>
      <protection hidden="1"/>
    </xf>
    <xf numFmtId="0" fontId="0" fillId="0" borderId="0" xfId="0" applyAlignment="1">
      <alignment horizontal="center" vertical="center"/>
    </xf>
    <xf numFmtId="0" fontId="0" fillId="18" borderId="5" xfId="0" applyFill="1" applyBorder="1"/>
    <xf numFmtId="0" fontId="0" fillId="0" borderId="0" xfId="0"/>
    <xf numFmtId="0" fontId="50" fillId="0" borderId="0" xfId="0" applyFont="1" applyBorder="1"/>
    <xf numFmtId="0" fontId="54" fillId="0" borderId="123" xfId="0" applyFont="1" applyBorder="1" applyProtection="1">
      <protection locked="0"/>
    </xf>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Border="1" applyAlignment="1" applyProtection="1">
      <alignment vertical="top"/>
      <protection hidden="1"/>
    </xf>
    <xf numFmtId="0" fontId="19" fillId="3" borderId="1" xfId="0" applyFont="1" applyFill="1" applyBorder="1" applyAlignment="1" applyProtection="1">
      <alignment vertical="top"/>
      <protection hidden="1"/>
    </xf>
    <xf numFmtId="0" fontId="0" fillId="4" borderId="0" xfId="0" applyFill="1" applyAlignment="1" applyProtection="1">
      <protection hidden="1"/>
    </xf>
    <xf numFmtId="0" fontId="0" fillId="2" borderId="0" xfId="0" applyFill="1" applyAlignment="1" applyProtection="1">
      <protection hidden="1"/>
    </xf>
    <xf numFmtId="0" fontId="23" fillId="2" borderId="0" xfId="0" applyFont="1" applyFill="1" applyAlignment="1" applyProtection="1">
      <protection hidden="1"/>
    </xf>
    <xf numFmtId="0" fontId="0" fillId="4" borderId="0" xfId="0" applyFill="1" applyBorder="1" applyAlignment="1" applyProtection="1">
      <protection hidden="1"/>
    </xf>
    <xf numFmtId="0" fontId="23" fillId="2" borderId="0" xfId="0" applyFont="1" applyFill="1" applyBorder="1" applyAlignment="1" applyProtection="1">
      <protection hidden="1"/>
    </xf>
    <xf numFmtId="0" fontId="11" fillId="2" borderId="14" xfId="0" applyFont="1" applyFill="1" applyBorder="1" applyAlignment="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Border="1" applyAlignment="1" applyProtection="1">
      <alignment horizontal="center"/>
      <protection hidden="1"/>
    </xf>
    <xf numFmtId="0" fontId="0" fillId="2" borderId="1" xfId="0" applyFill="1" applyBorder="1" applyAlignment="1" applyProtection="1">
      <protection hidden="1"/>
    </xf>
    <xf numFmtId="0" fontId="0" fillId="2" borderId="12" xfId="0" applyFont="1" applyFill="1" applyBorder="1" applyAlignment="1" applyProtection="1">
      <protection hidden="1"/>
    </xf>
    <xf numFmtId="0" fontId="0" fillId="4" borderId="15" xfId="0" applyFill="1" applyBorder="1" applyAlignment="1" applyProtection="1">
      <protection hidden="1"/>
    </xf>
    <xf numFmtId="0" fontId="0" fillId="2" borderId="0" xfId="0" applyFont="1" applyFill="1" applyAlignment="1" applyProtection="1">
      <protection hidden="1"/>
    </xf>
    <xf numFmtId="0" fontId="0" fillId="4" borderId="0" xfId="0" applyFont="1" applyFill="1" applyAlignment="1" applyProtection="1">
      <protection hidden="1"/>
    </xf>
    <xf numFmtId="0" fontId="1" fillId="4" borderId="0" xfId="0" applyFont="1" applyFill="1" applyAlignment="1" applyProtection="1">
      <protection hidden="1"/>
    </xf>
    <xf numFmtId="0" fontId="9" fillId="4" borderId="0" xfId="0" applyFont="1" applyFill="1" applyAlignment="1" applyProtection="1">
      <alignment horizontal="left" vertical="top"/>
      <protection hidden="1"/>
    </xf>
    <xf numFmtId="0" fontId="0" fillId="0" borderId="0" xfId="0" applyAlignment="1" applyProtection="1">
      <protection hidden="1"/>
    </xf>
    <xf numFmtId="0" fontId="0" fillId="2" borderId="0" xfId="0" applyFont="1" applyFill="1" applyBorder="1" applyAlignment="1" applyProtection="1">
      <protection hidden="1"/>
    </xf>
    <xf numFmtId="0" fontId="38" fillId="2" borderId="0" xfId="0" applyFont="1" applyFill="1" applyBorder="1" applyAlignment="1" applyProtection="1">
      <protection hidden="1"/>
    </xf>
    <xf numFmtId="0" fontId="0" fillId="4" borderId="0" xfId="0" applyFont="1" applyFill="1" applyBorder="1" applyAlignment="1" applyProtection="1">
      <protection hidden="1"/>
    </xf>
    <xf numFmtId="0" fontId="57" fillId="2" borderId="0" xfId="0" applyFont="1" applyFill="1" applyBorder="1" applyAlignment="1" applyProtection="1">
      <alignment horizontal="left"/>
      <protection hidden="1"/>
    </xf>
    <xf numFmtId="0" fontId="3" fillId="4" borderId="0" xfId="0" applyFont="1" applyFill="1" applyAlignment="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Alignment="1" applyProtection="1">
      <protection hidden="1"/>
    </xf>
    <xf numFmtId="0" fontId="24" fillId="2" borderId="0" xfId="0" applyFont="1" applyFill="1" applyAlignment="1" applyProtection="1">
      <protection hidden="1"/>
    </xf>
    <xf numFmtId="0" fontId="0" fillId="2" borderId="0" xfId="0" applyFill="1" applyBorder="1" applyAlignment="1" applyProtection="1">
      <alignment horizontal="left" vertical="top"/>
      <protection hidden="1"/>
    </xf>
    <xf numFmtId="0" fontId="23" fillId="4" borderId="0" xfId="0" applyFont="1" applyFill="1" applyAlignment="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Border="1" applyAlignment="1" applyProtection="1">
      <alignment horizontal="left" vertical="top"/>
      <protection hidden="1"/>
    </xf>
    <xf numFmtId="0" fontId="60" fillId="3" borderId="0" xfId="0" applyFont="1" applyFill="1" applyBorder="1" applyProtection="1">
      <protection hidden="1"/>
    </xf>
    <xf numFmtId="0" fontId="59" fillId="3" borderId="0" xfId="0" applyFont="1" applyFill="1" applyBorder="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Border="1" applyProtection="1">
      <protection hidden="1"/>
    </xf>
    <xf numFmtId="0" fontId="67" fillId="4" borderId="0" xfId="0" applyFont="1" applyFill="1" applyBorder="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Alignment="1" applyProtection="1">
      <protection hidden="1"/>
    </xf>
    <xf numFmtId="0" fontId="58" fillId="2" borderId="0" xfId="0" applyFont="1" applyFill="1" applyBorder="1" applyAlignment="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NumberFormat="1" applyFont="1" applyFill="1" applyBorder="1" applyAlignment="1" applyProtection="1">
      <alignment horizontal="center" vertical="center"/>
      <protection hidden="1"/>
    </xf>
    <xf numFmtId="9" fontId="65" fillId="5" borderId="31" xfId="2" applyNumberFormat="1"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NumberFormat="1"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81" fillId="2" borderId="21" xfId="0" applyFont="1" applyFill="1" applyBorder="1" applyProtection="1">
      <protection hidden="1"/>
    </xf>
    <xf numFmtId="0" fontId="81" fillId="2" borderId="22" xfId="0" applyFont="1" applyFill="1" applyBorder="1" applyProtection="1">
      <protection hidden="1"/>
    </xf>
    <xf numFmtId="10" fontId="81" fillId="2" borderId="23" xfId="0" applyNumberFormat="1" applyFont="1" applyFill="1" applyBorder="1" applyProtection="1">
      <protection hidden="1"/>
    </xf>
    <xf numFmtId="0" fontId="81" fillId="2" borderId="16" xfId="0" applyFont="1" applyFill="1" applyBorder="1" applyProtection="1">
      <protection hidden="1"/>
    </xf>
    <xf numFmtId="0" fontId="81" fillId="2" borderId="0" xfId="0" applyFont="1" applyFill="1" applyBorder="1" applyProtection="1">
      <protection hidden="1"/>
    </xf>
    <xf numFmtId="10" fontId="81" fillId="2" borderId="17" xfId="0" applyNumberFormat="1" applyFont="1" applyFill="1" applyBorder="1" applyProtection="1">
      <protection hidden="1"/>
    </xf>
    <xf numFmtId="0" fontId="81" fillId="2" borderId="18" xfId="0" applyFont="1" applyFill="1" applyBorder="1" applyProtection="1">
      <protection hidden="1"/>
    </xf>
    <xf numFmtId="0" fontId="81" fillId="2" borderId="19" xfId="0" applyFont="1" applyFill="1" applyBorder="1" applyProtection="1">
      <protection hidden="1"/>
    </xf>
    <xf numFmtId="10" fontId="81" fillId="2" borderId="20" xfId="0" applyNumberFormat="1" applyFont="1" applyFill="1" applyBorder="1" applyProtection="1">
      <protection hidden="1"/>
    </xf>
    <xf numFmtId="0" fontId="82" fillId="3" borderId="1" xfId="0" applyFont="1" applyFill="1" applyBorder="1" applyAlignment="1" applyProtection="1">
      <alignment vertical="top"/>
      <protection hidden="1"/>
    </xf>
    <xf numFmtId="0" fontId="82" fillId="3" borderId="41" xfId="0" applyFont="1" applyFill="1" applyBorder="1" applyAlignment="1" applyProtection="1">
      <alignment horizontal="left" vertical="top"/>
      <protection hidden="1"/>
    </xf>
    <xf numFmtId="0" fontId="0" fillId="0" borderId="0" xfId="0" applyProtection="1">
      <protection hidden="1"/>
    </xf>
    <xf numFmtId="0" fontId="31" fillId="3" borderId="0" xfId="0" applyFont="1" applyFill="1" applyBorder="1" applyAlignment="1" applyProtection="1">
      <alignment vertical="top"/>
      <protection hidden="1"/>
    </xf>
    <xf numFmtId="0" fontId="31" fillId="3" borderId="0" xfId="0" applyFont="1" applyFill="1" applyBorder="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Fill="1" applyBorder="1" applyAlignment="1" applyProtection="1">
      <alignment vertical="center" wrapText="1"/>
      <protection locked="0" hidden="1"/>
    </xf>
    <xf numFmtId="0" fontId="9" fillId="0" borderId="2" xfId="0" applyFont="1" applyFill="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Fill="1" applyBorder="1" applyAlignment="1" applyProtection="1">
      <alignment vertical="center" wrapText="1"/>
      <protection locked="0" hidden="1"/>
    </xf>
    <xf numFmtId="0" fontId="0" fillId="0" borderId="0" xfId="0" applyFill="1"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0" fillId="8" borderId="2" xfId="0" applyFont="1" applyFill="1" applyBorder="1" applyProtection="1">
      <protection hidden="1"/>
    </xf>
    <xf numFmtId="0" fontId="7" fillId="3" borderId="100" xfId="0" applyFont="1" applyFill="1" applyBorder="1" applyAlignment="1" applyProtection="1">
      <alignment horizontal="right" wrapText="1"/>
      <protection hidden="1"/>
    </xf>
    <xf numFmtId="0" fontId="1" fillId="0" borderId="2" xfId="0" applyFont="1" applyFill="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Border="1" applyAlignment="1" applyProtection="1">
      <alignment horizontal="left"/>
      <protection hidden="1"/>
    </xf>
    <xf numFmtId="0" fontId="0" fillId="2" borderId="1" xfId="0" applyFont="1" applyFill="1" applyBorder="1" applyProtection="1">
      <protection hidden="1"/>
    </xf>
    <xf numFmtId="0" fontId="46" fillId="2" borderId="1" xfId="0" applyFont="1" applyFill="1" applyBorder="1" applyAlignment="1" applyProtection="1">
      <alignment horizontal="right"/>
      <protection hidden="1"/>
    </xf>
    <xf numFmtId="0" fontId="35" fillId="4" borderId="0" xfId="0" applyFont="1" applyFill="1" applyBorder="1" applyAlignment="1" applyProtection="1">
      <alignment horizontal="left" vertical="top" wrapText="1"/>
      <protection hidden="1"/>
    </xf>
    <xf numFmtId="0" fontId="0" fillId="0" borderId="0" xfId="0" applyFont="1" applyAlignment="1" applyProtection="1">
      <alignment horizontal="right"/>
      <protection hidden="1"/>
    </xf>
    <xf numFmtId="0" fontId="0" fillId="2" borderId="0" xfId="0" applyFont="1" applyFill="1" applyProtection="1">
      <protection locked="0" hidden="1"/>
    </xf>
    <xf numFmtId="0" fontId="9" fillId="2" borderId="0" xfId="0" applyFont="1" applyFill="1" applyProtection="1">
      <protection locked="0" hidden="1"/>
    </xf>
    <xf numFmtId="0" fontId="33" fillId="2" borderId="0" xfId="0" applyFont="1" applyFill="1" applyProtection="1">
      <protection locked="0" hidden="1"/>
    </xf>
    <xf numFmtId="0" fontId="0" fillId="2" borderId="0" xfId="0" applyFont="1" applyFill="1" applyAlignment="1" applyProtection="1">
      <alignment horizontal="right"/>
      <protection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0" fillId="0" borderId="0" xfId="0" applyFont="1" applyProtection="1">
      <protection hidden="1"/>
    </xf>
    <xf numFmtId="0" fontId="9" fillId="4" borderId="0" xfId="0" applyFont="1" applyFill="1" applyBorder="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Border="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Border="1" applyAlignment="1" applyProtection="1">
      <alignment vertical="center" wrapText="1"/>
      <protection hidden="1"/>
    </xf>
    <xf numFmtId="0" fontId="23" fillId="5" borderId="0" xfId="0" applyFont="1" applyFill="1" applyBorder="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Border="1" applyAlignment="1" applyProtection="1">
      <alignment horizontal="left" vertical="center" wrapText="1"/>
      <protection hidden="1"/>
    </xf>
    <xf numFmtId="0" fontId="0" fillId="2" borderId="0" xfId="0" applyFill="1" applyBorder="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Border="1" applyAlignment="1" applyProtection="1">
      <alignment horizontal="left" vertical="center" wrapText="1"/>
      <protection hidden="1"/>
    </xf>
    <xf numFmtId="0" fontId="0" fillId="2" borderId="12" xfId="0" applyFill="1" applyBorder="1" applyProtection="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ont="1"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ont="1" applyFill="1" applyBorder="1" applyAlignment="1" applyProtection="1">
      <alignment horizontal="center" vertical="center"/>
      <protection hidden="1"/>
    </xf>
    <xf numFmtId="14" fontId="0" fillId="4" borderId="2" xfId="0" applyNumberFormat="1" applyFon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0" fillId="2" borderId="0" xfId="0" applyFont="1" applyFill="1" applyBorder="1" applyProtection="1">
      <protection hidden="1"/>
    </xf>
    <xf numFmtId="0" fontId="1" fillId="4" borderId="2" xfId="0" applyFont="1" applyFill="1" applyBorder="1" applyAlignment="1" applyProtection="1">
      <alignment vertical="center" wrapText="1"/>
      <protection locked="0"/>
    </xf>
    <xf numFmtId="0" fontId="0" fillId="0" borderId="1" xfId="0" applyFill="1" applyBorder="1" applyProtection="1"/>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1" fillId="0" borderId="15"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wrapText="1"/>
      <protection locked="0"/>
    </xf>
    <xf numFmtId="0" fontId="0" fillId="0" borderId="2" xfId="0" applyFont="1" applyFill="1" applyBorder="1" applyProtection="1">
      <protection locked="0"/>
    </xf>
    <xf numFmtId="0" fontId="0" fillId="2" borderId="2" xfId="0" applyFont="1" applyFill="1" applyBorder="1" applyProtection="1">
      <protection locked="0"/>
    </xf>
    <xf numFmtId="0" fontId="0" fillId="2" borderId="0" xfId="0" applyFill="1" applyProtection="1"/>
    <xf numFmtId="0" fontId="0" fillId="4" borderId="1" xfId="0" applyFill="1" applyBorder="1" applyProtection="1"/>
    <xf numFmtId="0" fontId="0" fillId="2" borderId="0" xfId="0" applyFont="1" applyFill="1" applyProtection="1">
      <protection locked="0"/>
    </xf>
    <xf numFmtId="0" fontId="84" fillId="0" borderId="0" xfId="0" applyFont="1" applyProtection="1"/>
    <xf numFmtId="0" fontId="84" fillId="0" borderId="0" xfId="0" applyFont="1"/>
    <xf numFmtId="0" fontId="85" fillId="3" borderId="0" xfId="0" applyFont="1" applyFill="1" applyBorder="1" applyAlignment="1" applyProtection="1">
      <alignment vertical="center"/>
    </xf>
    <xf numFmtId="0" fontId="85" fillId="3" borderId="0" xfId="0" applyFont="1" applyFill="1" applyBorder="1" applyAlignment="1" applyProtection="1">
      <alignment vertical="top"/>
    </xf>
    <xf numFmtId="0" fontId="86" fillId="3" borderId="0" xfId="0" applyFont="1" applyFill="1" applyBorder="1" applyProtection="1"/>
    <xf numFmtId="1" fontId="85" fillId="3" borderId="0" xfId="0" applyNumberFormat="1" applyFont="1" applyFill="1" applyBorder="1" applyAlignment="1" applyProtection="1">
      <alignment vertical="top"/>
    </xf>
    <xf numFmtId="14" fontId="85" fillId="3" borderId="0" xfId="0" applyNumberFormat="1" applyFont="1" applyFill="1" applyBorder="1" applyAlignment="1" applyProtection="1">
      <alignment vertical="top"/>
    </xf>
    <xf numFmtId="0" fontId="84" fillId="0" borderId="0" xfId="0" applyFont="1" applyBorder="1"/>
    <xf numFmtId="0" fontId="84" fillId="0" borderId="0" xfId="0" applyFont="1" applyBorder="1" applyProtection="1"/>
    <xf numFmtId="0" fontId="87" fillId="0" borderId="0" xfId="0" applyFont="1" applyBorder="1" applyProtection="1"/>
    <xf numFmtId="0" fontId="88" fillId="0" borderId="0" xfId="0" applyFont="1" applyBorder="1" applyAlignment="1" applyProtection="1">
      <alignment horizontal="center"/>
    </xf>
    <xf numFmtId="0" fontId="32" fillId="0" borderId="0" xfId="0" applyFont="1" applyBorder="1" applyProtection="1"/>
    <xf numFmtId="0" fontId="19" fillId="3" borderId="0" xfId="0" applyFont="1" applyFill="1" applyBorder="1" applyAlignment="1" applyProtection="1">
      <alignment horizontal="right" vertical="top"/>
      <protection hidden="1"/>
    </xf>
    <xf numFmtId="0" fontId="82"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89" fillId="3" borderId="0" xfId="0" applyFont="1" applyFill="1" applyBorder="1" applyAlignment="1" applyProtection="1">
      <alignment horizontal="right" vertical="top"/>
    </xf>
    <xf numFmtId="0" fontId="31" fillId="3" borderId="0" xfId="0" applyFont="1" applyFill="1" applyBorder="1" applyAlignment="1" applyProtection="1">
      <alignment horizontal="right" vertical="top" wrapText="1"/>
      <protection hidden="1"/>
    </xf>
    <xf numFmtId="0" fontId="19" fillId="3" borderId="1" xfId="0" applyFont="1" applyFill="1" applyBorder="1" applyAlignment="1" applyProtection="1">
      <alignment horizontal="right" vertical="top" wrapText="1"/>
    </xf>
    <xf numFmtId="0" fontId="44" fillId="2" borderId="1" xfId="0" applyFont="1" applyFill="1" applyBorder="1" applyAlignment="1" applyProtection="1">
      <alignment wrapText="1"/>
    </xf>
    <xf numFmtId="0" fontId="44" fillId="2" borderId="41" xfId="0" applyFont="1" applyFill="1" applyBorder="1" applyAlignment="1" applyProtection="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0" fillId="0" borderId="22" xfId="0"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8" borderId="0" xfId="0" applyFont="1" applyFill="1" applyBorder="1" applyProtection="1">
      <protection hidden="1"/>
    </xf>
    <xf numFmtId="0" fontId="0" fillId="12" borderId="2" xfId="0" applyFill="1" applyBorder="1" applyProtection="1">
      <protection hidden="1"/>
    </xf>
    <xf numFmtId="0" fontId="23" fillId="10" borderId="0" xfId="0" applyFont="1" applyFill="1" applyBorder="1"/>
    <xf numFmtId="0" fontId="0" fillId="0" borderId="0" xfId="0" applyBorder="1"/>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applyProtection="1"/>
    <xf numFmtId="0" fontId="90" fillId="10" borderId="64" xfId="0" applyFont="1" applyFill="1" applyBorder="1" applyProtection="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applyProtection="1"/>
    <xf numFmtId="0" fontId="42" fillId="0" borderId="3" xfId="0" applyFont="1" applyBorder="1" applyProtection="1"/>
    <xf numFmtId="0" fontId="42" fillId="0" borderId="54" xfId="0" applyFont="1" applyBorder="1" applyProtection="1"/>
    <xf numFmtId="0" fontId="0" fillId="0" borderId="80" xfId="0" applyBorder="1" applyProtection="1"/>
    <xf numFmtId="0" fontId="0" fillId="2" borderId="81" xfId="0" applyFill="1" applyBorder="1" applyProtection="1">
      <protection hidden="1"/>
    </xf>
    <xf numFmtId="0" fontId="32" fillId="9" borderId="54" xfId="0" applyFont="1" applyFill="1" applyBorder="1" applyProtection="1"/>
    <xf numFmtId="0" fontId="24" fillId="0" borderId="0" xfId="0" applyFont="1" applyProtection="1"/>
    <xf numFmtId="0" fontId="91" fillId="3" borderId="0" xfId="0" applyFont="1" applyFill="1" applyAlignment="1" applyProtection="1">
      <alignment horizontal="center"/>
      <protection hidden="1"/>
    </xf>
    <xf numFmtId="0" fontId="91"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applyProtection="1"/>
    <xf numFmtId="0" fontId="0" fillId="20" borderId="0" xfId="0" applyFill="1" applyProtection="1"/>
    <xf numFmtId="0" fontId="0" fillId="8" borderId="5" xfId="0" applyFill="1" applyBorder="1" applyProtection="1"/>
    <xf numFmtId="0" fontId="44" fillId="2" borderId="1" xfId="0" applyFont="1" applyFill="1" applyBorder="1" applyAlignment="1" applyProtection="1">
      <alignment horizontal="center" wrapText="1"/>
    </xf>
    <xf numFmtId="0" fontId="0" fillId="0" borderId="5" xfId="0" applyFont="1" applyBorder="1" applyProtection="1"/>
    <xf numFmtId="0" fontId="0" fillId="0" borderId="2" xfId="0" applyFont="1" applyBorder="1" applyProtection="1"/>
    <xf numFmtId="0" fontId="23" fillId="10" borderId="21" xfId="0" applyFont="1" applyFill="1" applyBorder="1" applyProtection="1"/>
    <xf numFmtId="0" fontId="23" fillId="10" borderId="68" xfId="0" applyFont="1" applyFill="1" applyBorder="1" applyProtection="1"/>
    <xf numFmtId="0" fontId="0" fillId="21" borderId="0" xfId="0" applyFill="1" applyProtection="1"/>
    <xf numFmtId="0" fontId="0" fillId="8" borderId="0" xfId="0" applyFill="1" applyProtection="1"/>
    <xf numFmtId="0" fontId="23" fillId="10" borderId="2" xfId="0" applyFont="1" applyFill="1" applyBorder="1" applyAlignment="1" applyProtection="1">
      <alignment wrapText="1"/>
    </xf>
    <xf numFmtId="0" fontId="52" fillId="4" borderId="50"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44" fillId="2" borderId="48" xfId="0" applyFont="1" applyFill="1" applyBorder="1" applyAlignment="1" applyProtection="1">
      <alignment horizontal="center" vertical="top" wrapText="1"/>
    </xf>
    <xf numFmtId="0" fontId="23" fillId="10" borderId="0" xfId="0" applyFont="1" applyFill="1" applyAlignment="1" applyProtection="1">
      <alignment wrapText="1"/>
    </xf>
    <xf numFmtId="1" fontId="0" fillId="0" borderId="56" xfId="0" applyNumberFormat="1" applyFill="1" applyBorder="1" applyAlignment="1" applyProtection="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Fill="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Fill="1" applyBorder="1" applyAlignment="1" applyProtection="1">
      <alignment vertical="center"/>
      <protection hidden="1"/>
    </xf>
    <xf numFmtId="0" fontId="0" fillId="5" borderId="15" xfId="0" applyFont="1" applyFill="1" applyBorder="1" applyAlignment="1" applyProtection="1">
      <protection hidden="1"/>
    </xf>
    <xf numFmtId="0" fontId="0" fillId="5" borderId="5" xfId="0" applyFont="1" applyFill="1" applyBorder="1" applyAlignment="1" applyProtection="1">
      <protection hidden="1"/>
    </xf>
    <xf numFmtId="0" fontId="0" fillId="0" borderId="12" xfId="0" applyFont="1" applyFill="1" applyBorder="1" applyAlignment="1" applyProtection="1">
      <alignment horizontal="center" vertical="top" wrapText="1"/>
      <protection hidden="1"/>
    </xf>
    <xf numFmtId="0" fontId="23" fillId="0" borderId="0" xfId="0" applyFont="1" applyFill="1" applyBorder="1" applyAlignment="1" applyProtection="1">
      <alignment horizontal="left" vertical="center"/>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pplyProtection="1">
      <alignment horizontal="center" vertical="top" wrapText="1"/>
    </xf>
    <xf numFmtId="0" fontId="0" fillId="4" borderId="0" xfId="0" applyFill="1" applyBorder="1" applyAlignment="1" applyProtection="1">
      <alignment wrapText="1"/>
      <protection locked="0"/>
    </xf>
    <xf numFmtId="0" fontId="0" fillId="18" borderId="2" xfId="0" applyFill="1" applyBorder="1" applyProtection="1"/>
    <xf numFmtId="0" fontId="0" fillId="18" borderId="56" xfId="0" applyFill="1" applyBorder="1" applyProtection="1"/>
    <xf numFmtId="0" fontId="24" fillId="18" borderId="2" xfId="0" applyFont="1" applyFill="1" applyBorder="1" applyProtection="1"/>
    <xf numFmtId="0" fontId="0" fillId="18" borderId="66" xfId="0" applyFill="1" applyBorder="1" applyProtection="1"/>
    <xf numFmtId="0" fontId="0" fillId="18" borderId="3" xfId="0" applyFill="1" applyBorder="1" applyProtection="1"/>
    <xf numFmtId="0" fontId="0" fillId="18" borderId="85" xfId="0" applyFill="1" applyBorder="1" applyProtection="1"/>
    <xf numFmtId="0" fontId="0" fillId="18" borderId="15" xfId="0" applyFill="1" applyBorder="1" applyProtection="1"/>
    <xf numFmtId="0" fontId="24" fillId="0" borderId="15" xfId="0" applyFont="1" applyFill="1" applyBorder="1" applyProtection="1"/>
    <xf numFmtId="0" fontId="0" fillId="0" borderId="61" xfId="0" applyFill="1" applyBorder="1" applyProtection="1"/>
    <xf numFmtId="0" fontId="0" fillId="0" borderId="5" xfId="0" applyFill="1" applyBorder="1" applyProtection="1"/>
    <xf numFmtId="0" fontId="32" fillId="13" borderId="84" xfId="0" applyFont="1" applyFill="1" applyBorder="1" applyProtection="1"/>
    <xf numFmtId="0" fontId="32" fillId="13" borderId="116" xfId="0" applyFont="1" applyFill="1" applyBorder="1" applyProtection="1"/>
    <xf numFmtId="0" fontId="0" fillId="5" borderId="138" xfId="0" applyFont="1" applyFill="1" applyBorder="1" applyAlignment="1" applyProtection="1">
      <alignment horizontal="left" vertical="center"/>
    </xf>
    <xf numFmtId="0" fontId="26" fillId="5" borderId="139" xfId="0" applyFont="1" applyFill="1" applyBorder="1" applyAlignment="1" applyProtection="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0" borderId="55" xfId="0" applyFill="1" applyBorder="1" applyProtection="1"/>
    <xf numFmtId="0" fontId="0" fillId="0" borderId="57" xfId="0" applyFill="1" applyBorder="1" applyProtection="1"/>
    <xf numFmtId="0" fontId="0" fillId="0" borderId="60" xfId="0" applyFill="1" applyBorder="1" applyProtection="1"/>
    <xf numFmtId="0" fontId="0" fillId="8" borderId="58" xfId="0" applyFill="1" applyBorder="1" applyProtection="1"/>
    <xf numFmtId="0" fontId="26" fillId="18" borderId="2" xfId="0" applyFont="1" applyFill="1" applyBorder="1" applyAlignment="1" applyProtection="1">
      <alignment horizontal="center" vertical="center"/>
    </xf>
    <xf numFmtId="1" fontId="0" fillId="18" borderId="55" xfId="0" applyNumberFormat="1" applyFill="1" applyBorder="1" applyProtection="1"/>
    <xf numFmtId="1" fontId="0" fillId="18" borderId="57" xfId="0" applyNumberFormat="1" applyFill="1" applyBorder="1" applyProtection="1"/>
    <xf numFmtId="1" fontId="0" fillId="18" borderId="60" xfId="0" applyNumberFormat="1" applyFill="1" applyBorder="1" applyProtection="1"/>
    <xf numFmtId="0" fontId="93" fillId="2" borderId="1" xfId="0" applyFont="1" applyFill="1" applyBorder="1" applyProtection="1">
      <protection hidden="1"/>
    </xf>
    <xf numFmtId="0" fontId="31" fillId="3" borderId="0" xfId="0" applyFont="1" applyFill="1" applyBorder="1" applyAlignment="1" applyProtection="1">
      <alignment vertical="center"/>
    </xf>
    <xf numFmtId="0" fontId="19" fillId="3" borderId="0" xfId="0" applyFont="1" applyFill="1" applyBorder="1" applyAlignment="1" applyProtection="1">
      <alignment horizontal="left" vertical="top"/>
      <protection hidden="1"/>
    </xf>
    <xf numFmtId="0" fontId="0" fillId="12" borderId="0" xfId="0" applyFill="1" applyBorder="1" applyProtection="1">
      <protection hidden="1"/>
    </xf>
    <xf numFmtId="0" fontId="0" fillId="8" borderId="66" xfId="0" applyFill="1" applyBorder="1" applyProtection="1"/>
    <xf numFmtId="0" fontId="0" fillId="12" borderId="85" xfId="0" applyFill="1" applyBorder="1" applyProtection="1"/>
    <xf numFmtId="0" fontId="32" fillId="0" borderId="2" xfId="0" applyFont="1" applyFill="1" applyBorder="1" applyProtection="1">
      <protection hidden="1"/>
    </xf>
    <xf numFmtId="0" fontId="0" fillId="0" borderId="66" xfId="0" applyFill="1" applyBorder="1" applyProtection="1"/>
    <xf numFmtId="0" fontId="0" fillId="8" borderId="53" xfId="0" applyFill="1" applyBorder="1" applyProtection="1"/>
    <xf numFmtId="0" fontId="0" fillId="0" borderId="3" xfId="0" applyFill="1" applyBorder="1" applyProtection="1"/>
    <xf numFmtId="0" fontId="26" fillId="4" borderId="7" xfId="0" applyFont="1" applyFill="1" applyBorder="1" applyAlignment="1" applyProtection="1">
      <alignment horizontal="center" vertical="center" wrapText="1"/>
      <protection locked="0"/>
    </xf>
    <xf numFmtId="0" fontId="82" fillId="4" borderId="0" xfId="0" applyFont="1" applyFill="1" applyBorder="1" applyAlignment="1" applyProtection="1">
      <alignment vertical="top" wrapText="1"/>
      <protection hidden="1"/>
    </xf>
    <xf numFmtId="0" fontId="23" fillId="2" borderId="0" xfId="0" applyFont="1" applyFill="1" applyBorder="1" applyProtection="1">
      <protection hidden="1"/>
    </xf>
    <xf numFmtId="0" fontId="96" fillId="2" borderId="0" xfId="0" applyFont="1" applyFill="1" applyBorder="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pplyProtection="1">
      <alignment horizontal="center" vertical="top" wrapText="1"/>
    </xf>
    <xf numFmtId="0" fontId="0" fillId="4" borderId="40" xfId="0" applyFill="1" applyBorder="1" applyAlignment="1" applyProtection="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Border="1" applyAlignment="1" applyProtection="1">
      <alignment vertical="top" wrapText="1"/>
      <protection hidden="1"/>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pplyProtection="1">
      <alignment wrapText="1"/>
    </xf>
    <xf numFmtId="0" fontId="32" fillId="0" borderId="0" xfId="0" applyFont="1" applyAlignment="1" applyProtection="1">
      <alignment wrapText="1"/>
    </xf>
    <xf numFmtId="1" fontId="0" fillId="0" borderId="0" xfId="0" applyNumberFormat="1" applyAlignment="1" applyProtection="1">
      <alignment wrapText="1"/>
    </xf>
    <xf numFmtId="14" fontId="0" fillId="0" borderId="0" xfId="0" applyNumberFormat="1" applyAlignment="1" applyProtection="1">
      <alignment wrapText="1"/>
    </xf>
    <xf numFmtId="0" fontId="94" fillId="12" borderId="2" xfId="0" applyFont="1" applyFill="1" applyBorder="1" applyAlignment="1" applyProtection="1">
      <alignment wrapText="1"/>
    </xf>
    <xf numFmtId="0" fontId="94" fillId="12" borderId="57" xfId="0" applyFont="1" applyFill="1" applyBorder="1" applyAlignment="1" applyProtection="1">
      <alignment wrapText="1"/>
    </xf>
    <xf numFmtId="0" fontId="0" fillId="12" borderId="2" xfId="0" applyFill="1" applyBorder="1" applyAlignment="1" applyProtection="1">
      <alignment wrapText="1"/>
    </xf>
    <xf numFmtId="0" fontId="0" fillId="12" borderId="57" xfId="0" applyFill="1" applyBorder="1" applyAlignment="1" applyProtection="1">
      <alignment wrapText="1"/>
    </xf>
    <xf numFmtId="0" fontId="0" fillId="12" borderId="3" xfId="0" applyFill="1" applyBorder="1" applyAlignment="1" applyProtection="1">
      <alignment wrapText="1"/>
    </xf>
    <xf numFmtId="0" fontId="0" fillId="12" borderId="67" xfId="0" applyFill="1" applyBorder="1" applyAlignment="1" applyProtection="1">
      <alignment wrapText="1"/>
    </xf>
    <xf numFmtId="0" fontId="32" fillId="13" borderId="64" xfId="0" applyFont="1" applyFill="1" applyBorder="1" applyAlignment="1" applyProtection="1">
      <alignment wrapText="1"/>
    </xf>
    <xf numFmtId="0" fontId="32" fillId="13" borderId="84" xfId="0" applyFont="1" applyFill="1" applyBorder="1" applyAlignment="1" applyProtection="1">
      <alignment wrapText="1"/>
    </xf>
    <xf numFmtId="0" fontId="0" fillId="12" borderId="2" xfId="0" applyFont="1" applyFill="1" applyBorder="1" applyAlignment="1" applyProtection="1">
      <alignment wrapText="1"/>
    </xf>
    <xf numFmtId="0" fontId="0" fillId="12" borderId="54" xfId="0" applyFill="1" applyBorder="1" applyAlignment="1" applyProtection="1">
      <alignment wrapText="1"/>
    </xf>
    <xf numFmtId="0" fontId="0" fillId="12" borderId="55" xfId="0" applyFill="1" applyBorder="1" applyAlignment="1" applyProtection="1">
      <alignment wrapText="1"/>
    </xf>
    <xf numFmtId="0" fontId="0" fillId="12" borderId="59" xfId="0" applyFill="1" applyBorder="1" applyAlignment="1" applyProtection="1">
      <alignment wrapText="1"/>
    </xf>
    <xf numFmtId="0" fontId="0" fillId="12" borderId="60" xfId="0" applyFill="1" applyBorder="1" applyAlignment="1" applyProtection="1">
      <alignment wrapText="1"/>
    </xf>
    <xf numFmtId="0" fontId="24" fillId="0" borderId="0" xfId="0" applyFont="1" applyAlignment="1" applyProtection="1">
      <alignment wrapText="1"/>
    </xf>
    <xf numFmtId="0" fontId="23" fillId="10" borderId="64" xfId="0" applyFont="1" applyFill="1" applyBorder="1" applyAlignment="1" applyProtection="1">
      <alignment wrapText="1"/>
    </xf>
    <xf numFmtId="0" fontId="23" fillId="10" borderId="65" xfId="0" applyFont="1" applyFill="1" applyBorder="1" applyAlignment="1" applyProtection="1">
      <alignment wrapText="1"/>
    </xf>
    <xf numFmtId="0" fontId="0" fillId="0" borderId="5" xfId="0" applyBorder="1" applyAlignment="1" applyProtection="1">
      <alignment wrapText="1"/>
    </xf>
    <xf numFmtId="0" fontId="0" fillId="0" borderId="62" xfId="0" applyBorder="1" applyAlignment="1" applyProtection="1">
      <alignment wrapText="1"/>
    </xf>
    <xf numFmtId="0" fontId="0" fillId="0" borderId="2" xfId="0" applyBorder="1" applyAlignment="1" applyProtection="1">
      <alignment wrapText="1"/>
    </xf>
    <xf numFmtId="0" fontId="0" fillId="0" borderId="57" xfId="0" applyBorder="1" applyAlignment="1" applyProtection="1">
      <alignment wrapText="1"/>
    </xf>
    <xf numFmtId="0" fontId="0" fillId="0" borderId="59" xfId="0" applyBorder="1" applyAlignment="1" applyProtection="1">
      <alignment wrapText="1"/>
    </xf>
    <xf numFmtId="0" fontId="0" fillId="0" borderId="60" xfId="0" applyBorder="1" applyAlignment="1" applyProtection="1">
      <alignment wrapText="1"/>
    </xf>
    <xf numFmtId="0" fontId="0" fillId="0" borderId="3" xfId="0" applyBorder="1" applyAlignment="1" applyProtection="1">
      <alignment wrapText="1"/>
    </xf>
    <xf numFmtId="0" fontId="0" fillId="0" borderId="67" xfId="0" applyBorder="1" applyAlignment="1" applyProtection="1">
      <alignment wrapText="1"/>
    </xf>
    <xf numFmtId="0" fontId="0" fillId="0" borderId="54" xfId="0" applyBorder="1" applyAlignment="1" applyProtection="1">
      <alignment wrapText="1"/>
    </xf>
    <xf numFmtId="0" fontId="0" fillId="0" borderId="55" xfId="0" applyBorder="1" applyAlignment="1" applyProtection="1">
      <alignment wrapText="1"/>
    </xf>
    <xf numFmtId="0" fontId="0" fillId="0" borderId="81" xfId="0" applyBorder="1" applyAlignment="1" applyProtection="1">
      <alignment wrapText="1"/>
    </xf>
    <xf numFmtId="0" fontId="0" fillId="0" borderId="23" xfId="0" applyBorder="1" applyAlignment="1" applyProtection="1">
      <alignment wrapText="1"/>
    </xf>
    <xf numFmtId="0" fontId="24" fillId="0" borderId="0" xfId="0" applyFont="1" applyAlignment="1" applyProtection="1">
      <alignment vertical="top" wrapText="1"/>
    </xf>
    <xf numFmtId="0" fontId="26" fillId="0" borderId="36" xfId="0" applyFont="1" applyFill="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1" xfId="0" applyFont="1" applyFill="1" applyBorder="1" applyAlignment="1" applyProtection="1">
      <alignment horizontal="center" wrapText="1"/>
    </xf>
    <xf numFmtId="0" fontId="44" fillId="2" borderId="51" xfId="0" applyFont="1" applyFill="1" applyBorder="1" applyAlignment="1" applyProtection="1">
      <alignment horizontal="center" vertical="top" wrapText="1"/>
    </xf>
    <xf numFmtId="0" fontId="7" fillId="3" borderId="45" xfId="0" applyFont="1" applyFill="1" applyBorder="1" applyAlignment="1" applyProtection="1">
      <alignment horizontal="left" vertical="top" wrapText="1"/>
    </xf>
    <xf numFmtId="0" fontId="1" fillId="5" borderId="38" xfId="0" applyFont="1" applyFill="1" applyBorder="1" applyAlignment="1" applyProtection="1">
      <alignment horizontal="left" vertical="top" wrapText="1"/>
    </xf>
    <xf numFmtId="0" fontId="7" fillId="3" borderId="45" xfId="0" applyFont="1" applyFill="1" applyBorder="1" applyAlignment="1" applyProtection="1">
      <alignment horizontal="left" vertical="center" wrapText="1"/>
    </xf>
    <xf numFmtId="0" fontId="7" fillId="3" borderId="27" xfId="0" applyFont="1" applyFill="1" applyBorder="1" applyAlignment="1" applyProtection="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pplyProtection="1">
      <alignment horizontal="left" vertical="center" wrapText="1"/>
    </xf>
    <xf numFmtId="0" fontId="1" fillId="5" borderId="37" xfId="0" applyFont="1" applyFill="1" applyBorder="1" applyAlignment="1" applyProtection="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Border="1" applyAlignment="1" applyProtection="1">
      <alignment vertical="top" wrapText="1"/>
    </xf>
    <xf numFmtId="0" fontId="0" fillId="4" borderId="0" xfId="0" applyFill="1" applyAlignment="1">
      <alignment vertical="top" wrapText="1"/>
    </xf>
    <xf numFmtId="0" fontId="0" fillId="0" borderId="0" xfId="0" applyAlignment="1" applyProtection="1"/>
    <xf numFmtId="0" fontId="0" fillId="2" borderId="0" xfId="0" applyFill="1" applyAlignment="1" applyProtection="1">
      <alignment vertical="center" wrapText="1"/>
      <protection hidden="1"/>
    </xf>
    <xf numFmtId="0" fontId="0" fillId="2" borderId="0" xfId="0" applyFill="1" applyAlignment="1" applyProtection="1">
      <alignment vertical="center" wrapText="1"/>
      <protection locked="0" hidden="1"/>
    </xf>
    <xf numFmtId="0" fontId="0" fillId="5" borderId="138" xfId="0" applyFont="1" applyFill="1" applyBorder="1" applyAlignment="1" applyProtection="1">
      <alignment horizontal="left" vertical="center" wrapText="1"/>
    </xf>
    <xf numFmtId="0" fontId="24" fillId="4" borderId="0" xfId="0" applyFont="1" applyFill="1" applyBorder="1" applyAlignment="1" applyProtection="1">
      <alignment horizontal="left" vertical="center"/>
      <protection hidden="1"/>
    </xf>
    <xf numFmtId="0" fontId="24" fillId="4" borderId="0" xfId="0" applyFont="1" applyFill="1" applyAlignment="1" applyProtection="1">
      <alignment vertical="center"/>
    </xf>
    <xf numFmtId="0" fontId="24" fillId="4" borderId="0" xfId="0" applyFont="1" applyFill="1" applyProtection="1">
      <protection hidden="1"/>
    </xf>
    <xf numFmtId="1" fontId="0" fillId="12" borderId="61" xfId="0" applyNumberFormat="1" applyFill="1" applyBorder="1" applyAlignment="1" applyProtection="1">
      <alignment horizontal="right"/>
    </xf>
    <xf numFmtId="1" fontId="0" fillId="12" borderId="5" xfId="0" applyNumberFormat="1" applyFill="1" applyBorder="1" applyAlignment="1" applyProtection="1">
      <alignment horizontal="right"/>
    </xf>
    <xf numFmtId="0" fontId="0" fillId="0" borderId="61" xfId="0" applyFill="1" applyBorder="1" applyAlignment="1" applyProtection="1">
      <alignment horizontal="right"/>
    </xf>
    <xf numFmtId="0" fontId="0" fillId="0" borderId="5" xfId="0" applyFill="1" applyBorder="1" applyAlignment="1" applyProtection="1">
      <alignment horizontal="right"/>
    </xf>
    <xf numFmtId="0" fontId="0" fillId="0" borderId="62" xfId="0" applyBorder="1" applyProtection="1"/>
    <xf numFmtId="0" fontId="32" fillId="8" borderId="5" xfId="0" applyFont="1" applyFill="1" applyBorder="1" applyProtection="1"/>
    <xf numFmtId="0" fontId="32" fillId="8" borderId="2" xfId="0" applyFont="1" applyFill="1" applyBorder="1" applyProtection="1"/>
    <xf numFmtId="0" fontId="32" fillId="0" borderId="61" xfId="0" applyFont="1" applyBorder="1" applyProtection="1"/>
    <xf numFmtId="0" fontId="32" fillId="0" borderId="56" xfId="0" applyFont="1" applyBorder="1" applyProtection="1"/>
    <xf numFmtId="1" fontId="0" fillId="12" borderId="61" xfId="0" applyNumberFormat="1" applyFill="1" applyBorder="1" applyProtection="1"/>
    <xf numFmtId="1" fontId="0" fillId="12" borderId="5" xfId="0" applyNumberFormat="1" applyFill="1" applyBorder="1" applyProtection="1"/>
    <xf numFmtId="1" fontId="0" fillId="12" borderId="62" xfId="0" applyNumberFormat="1" applyFill="1" applyBorder="1" applyProtection="1"/>
    <xf numFmtId="0" fontId="0" fillId="0" borderId="13" xfId="0" applyFill="1" applyBorder="1" applyProtection="1"/>
    <xf numFmtId="0" fontId="0" fillId="20" borderId="0" xfId="0" applyFill="1" applyBorder="1" applyProtection="1"/>
    <xf numFmtId="1" fontId="0" fillId="12" borderId="66" xfId="0" applyNumberFormat="1" applyFill="1" applyBorder="1" applyAlignment="1" applyProtection="1">
      <alignment horizontal="right"/>
    </xf>
    <xf numFmtId="1" fontId="0" fillId="12" borderId="3" xfId="0" applyNumberFormat="1" applyFill="1" applyBorder="1" applyAlignment="1" applyProtection="1">
      <alignment horizontal="right"/>
    </xf>
    <xf numFmtId="1" fontId="0" fillId="12" borderId="67" xfId="0" applyNumberFormat="1" applyFill="1" applyBorder="1" applyAlignment="1" applyProtection="1">
      <alignment horizontal="right"/>
    </xf>
    <xf numFmtId="1" fontId="0" fillId="12" borderId="67" xfId="0" applyNumberFormat="1" applyFill="1" applyBorder="1" applyProtection="1"/>
    <xf numFmtId="0" fontId="0" fillId="0" borderId="66" xfId="0"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0" fillId="0" borderId="67" xfId="0" applyBorder="1" applyProtection="1"/>
    <xf numFmtId="0" fontId="0" fillId="0" borderId="13" xfId="0" applyFill="1" applyBorder="1" applyAlignment="1" applyProtection="1">
      <alignment horizontal="right"/>
    </xf>
    <xf numFmtId="1" fontId="24" fillId="12" borderId="5" xfId="0" applyNumberFormat="1" applyFont="1" applyFill="1" applyBorder="1" applyProtection="1"/>
    <xf numFmtId="1" fontId="0" fillId="12" borderId="66" xfId="0" applyNumberFormat="1" applyFill="1" applyBorder="1" applyProtection="1"/>
    <xf numFmtId="1" fontId="0" fillId="12" borderId="3" xfId="0" applyNumberFormat="1" applyFill="1" applyBorder="1" applyProtection="1"/>
    <xf numFmtId="0" fontId="0" fillId="0" borderId="9" xfId="0" applyFill="1" applyBorder="1" applyProtection="1"/>
    <xf numFmtId="0" fontId="0" fillId="8" borderId="15" xfId="0" applyFill="1" applyBorder="1" applyProtection="1"/>
    <xf numFmtId="0" fontId="0" fillId="0" borderId="87" xfId="0" applyFill="1" applyBorder="1" applyProtection="1"/>
    <xf numFmtId="0" fontId="0" fillId="0" borderId="62" xfId="0" applyFill="1" applyBorder="1" applyProtection="1"/>
    <xf numFmtId="0" fontId="0" fillId="0" borderId="67" xfId="0" applyFill="1" applyBorder="1" applyProtection="1"/>
    <xf numFmtId="0" fontId="23" fillId="10" borderId="82" xfId="0" applyFont="1" applyFill="1" applyBorder="1" applyAlignment="1" applyProtection="1">
      <alignment horizontal="center" wrapText="1"/>
    </xf>
    <xf numFmtId="0" fontId="32" fillId="0" borderId="53" xfId="0" applyFont="1" applyBorder="1" applyProtection="1"/>
    <xf numFmtId="0" fontId="32" fillId="8" borderId="54" xfId="0" applyFont="1" applyFill="1" applyBorder="1" applyProtection="1"/>
    <xf numFmtId="0" fontId="32" fillId="5" borderId="24" xfId="0" applyFont="1" applyFill="1" applyBorder="1" applyAlignment="1" applyProtection="1">
      <alignment horizontal="left" vertical="center"/>
    </xf>
    <xf numFmtId="0" fontId="0" fillId="5" borderId="24" xfId="0" applyFont="1" applyFill="1" applyBorder="1" applyAlignment="1" applyProtection="1">
      <alignment horizontal="left" vertical="center" indent="2"/>
    </xf>
    <xf numFmtId="164" fontId="26" fillId="5" borderId="138" xfId="0" applyNumberFormat="1" applyFont="1" applyFill="1" applyBorder="1" applyAlignment="1" applyProtection="1">
      <alignment horizontal="center" vertical="center"/>
    </xf>
    <xf numFmtId="0" fontId="0" fillId="5" borderId="124" xfId="0" applyFill="1" applyBorder="1" applyAlignment="1" applyProtection="1">
      <alignment vertical="center"/>
    </xf>
    <xf numFmtId="0" fontId="26" fillId="4" borderId="0" xfId="0" applyFont="1" applyFill="1" applyBorder="1" applyAlignment="1" applyProtection="1">
      <alignment horizontal="left" vertical="center" wrapText="1"/>
      <protection locked="0"/>
    </xf>
    <xf numFmtId="0" fontId="37" fillId="5" borderId="37" xfId="0" applyFont="1" applyFill="1" applyBorder="1" applyAlignment="1" applyProtection="1">
      <alignment horizontal="center" vertical="center"/>
    </xf>
    <xf numFmtId="164" fontId="37" fillId="5" borderId="24" xfId="0" applyNumberFormat="1" applyFont="1" applyFill="1" applyBorder="1" applyAlignment="1" applyProtection="1">
      <alignment horizontal="center" vertical="center"/>
    </xf>
    <xf numFmtId="0" fontId="37" fillId="5" borderId="91" xfId="0" applyFont="1" applyFill="1" applyBorder="1" applyAlignment="1" applyProtection="1">
      <alignment horizontal="left" vertical="center"/>
    </xf>
    <xf numFmtId="0" fontId="28" fillId="6" borderId="124" xfId="0" applyFont="1" applyFill="1" applyBorder="1" applyAlignment="1" applyProtection="1">
      <alignment vertical="center"/>
    </xf>
    <xf numFmtId="0" fontId="23" fillId="6" borderId="0" xfId="0" applyFont="1" applyFill="1" applyBorder="1" applyAlignment="1" applyProtection="1">
      <alignment vertical="center"/>
    </xf>
    <xf numFmtId="0" fontId="23" fillId="6" borderId="0" xfId="0" applyFont="1" applyFill="1" applyBorder="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Fill="1" applyBorder="1" applyAlignment="1" applyProtection="1">
      <alignment horizontal="left" vertical="top" wrapText="1"/>
      <protection locked="0"/>
    </xf>
    <xf numFmtId="164" fontId="37" fillId="5" borderId="28" xfId="0" applyNumberFormat="1" applyFont="1" applyFill="1" applyBorder="1" applyAlignment="1" applyProtection="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left" vertical="top" wrapText="1"/>
    </xf>
    <xf numFmtId="0" fontId="41" fillId="2" borderId="143" xfId="0" applyFont="1" applyFill="1" applyBorder="1" applyAlignment="1" applyProtection="1">
      <alignment horizontal="left" vertical="top" wrapText="1"/>
    </xf>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8" fillId="4" borderId="0" xfId="0" applyFont="1" applyFill="1" applyBorder="1" applyAlignment="1">
      <alignment horizontal="center" vertical="center" wrapText="1"/>
    </xf>
    <xf numFmtId="0" fontId="99" fillId="0" borderId="2" xfId="3" applyFont="1" applyFill="1" applyBorder="1" applyAlignment="1">
      <alignment horizontal="center" vertical="center"/>
    </xf>
    <xf numFmtId="0" fontId="97" fillId="0" borderId="0" xfId="0" applyFont="1" applyFill="1" applyBorder="1" applyAlignment="1">
      <alignment horizontal="center" vertical="center"/>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99" fillId="0" borderId="0" xfId="3" applyFont="1" applyFill="1" applyBorder="1" applyAlignment="1">
      <alignment horizontal="center" vertical="center"/>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0" fillId="0" borderId="2" xfId="3" applyFont="1" applyFill="1" applyBorder="1"/>
    <xf numFmtId="0" fontId="51" fillId="0" borderId="2" xfId="0" applyFont="1" applyFill="1" applyBorder="1" applyAlignment="1">
      <alignment horizontal="center"/>
    </xf>
    <xf numFmtId="0" fontId="100" fillId="0" borderId="2" xfId="3" applyFont="1" applyFill="1" applyBorder="1" applyAlignment="1">
      <alignment vertical="top"/>
    </xf>
    <xf numFmtId="0" fontId="51" fillId="0" borderId="0" xfId="0" applyFont="1" applyFill="1" applyBorder="1" applyAlignment="1">
      <alignment horizontal="center"/>
    </xf>
    <xf numFmtId="0" fontId="101" fillId="0" borderId="2" xfId="3" applyFont="1" applyFill="1" applyBorder="1"/>
    <xf numFmtId="0" fontId="102" fillId="0" borderId="2" xfId="0" applyFont="1" applyFill="1" applyBorder="1" applyAlignment="1">
      <alignment horizontal="center"/>
    </xf>
    <xf numFmtId="0" fontId="101" fillId="0" borderId="2" xfId="3" applyFont="1" applyFill="1" applyBorder="1" applyAlignment="1">
      <alignment vertical="top"/>
    </xf>
    <xf numFmtId="0" fontId="102" fillId="0" borderId="2" xfId="0" applyFont="1" applyFill="1" applyBorder="1" applyAlignment="1">
      <alignment horizontal="center" vertical="top"/>
    </xf>
    <xf numFmtId="0" fontId="100" fillId="0" borderId="2" xfId="3" applyFont="1" applyFill="1" applyBorder="1" applyAlignment="1">
      <alignment horizontal="right"/>
    </xf>
    <xf numFmtId="0" fontId="102" fillId="0" borderId="2" xfId="0" applyFont="1" applyFill="1" applyBorder="1" applyAlignment="1">
      <alignment horizontal="center" wrapText="1"/>
    </xf>
    <xf numFmtId="0" fontId="51" fillId="0" borderId="2" xfId="0" applyFont="1" applyFill="1" applyBorder="1" applyAlignment="1">
      <alignment horizontal="center" wrapText="1"/>
    </xf>
    <xf numFmtId="0" fontId="51" fillId="0" borderId="2" xfId="0" applyFont="1" applyFill="1" applyBorder="1" applyAlignment="1">
      <alignment horizontal="center" vertical="top"/>
    </xf>
    <xf numFmtId="0" fontId="100" fillId="0" borderId="4" xfId="3" applyFont="1" applyFill="1" applyBorder="1"/>
    <xf numFmtId="0" fontId="51" fillId="0" borderId="4" xfId="0" applyFont="1" applyFill="1" applyBorder="1" applyAlignment="1">
      <alignment horizontal="center"/>
    </xf>
    <xf numFmtId="0" fontId="100" fillId="0" borderId="0" xfId="3" applyFont="1" applyFill="1" applyBorder="1"/>
    <xf numFmtId="0" fontId="0" fillId="0" borderId="2" xfId="0" applyFont="1" applyFill="1" applyBorder="1" applyAlignment="1" applyProtection="1">
      <alignment horizontal="left" indent="2"/>
    </xf>
    <xf numFmtId="0" fontId="23" fillId="10" borderId="149" xfId="0" applyFont="1" applyFill="1" applyBorder="1" applyAlignment="1" applyProtection="1">
      <alignment horizontal="center" wrapText="1"/>
    </xf>
    <xf numFmtId="0" fontId="0" fillId="8" borderId="75" xfId="0" applyFill="1" applyBorder="1" applyProtection="1"/>
    <xf numFmtId="0" fontId="0" fillId="8" borderId="76" xfId="0" applyFill="1" applyBorder="1" applyProtection="1"/>
    <xf numFmtId="10" fontId="0" fillId="8" borderId="0" xfId="0" applyNumberFormat="1" applyFill="1" applyProtection="1"/>
    <xf numFmtId="0" fontId="0" fillId="8" borderId="2" xfId="0" applyFont="1" applyFill="1" applyBorder="1" applyAlignment="1" applyProtection="1">
      <alignment horizontal="center" wrapText="1"/>
    </xf>
    <xf numFmtId="0" fontId="32" fillId="5" borderId="29" xfId="0" applyFont="1" applyFill="1" applyBorder="1" applyAlignment="1" applyProtection="1">
      <alignment vertical="center"/>
    </xf>
    <xf numFmtId="0" fontId="32" fillId="5" borderId="24" xfId="0" applyFont="1" applyFill="1" applyBorder="1" applyAlignment="1" applyProtection="1">
      <alignment vertical="center"/>
    </xf>
    <xf numFmtId="0" fontId="104"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pplyProtection="1">
      <alignment horizontal="left" vertical="top" wrapText="1"/>
    </xf>
    <xf numFmtId="0" fontId="7" fillId="3" borderId="46" xfId="0" applyFont="1" applyFill="1" applyBorder="1" applyAlignment="1" applyProtection="1">
      <alignment horizontal="left" vertical="top"/>
    </xf>
    <xf numFmtId="0" fontId="7" fillId="3" borderId="47" xfId="0" applyFont="1" applyFill="1" applyBorder="1" applyAlignment="1" applyProtection="1">
      <alignment horizontal="left" vertical="top"/>
    </xf>
    <xf numFmtId="0" fontId="7" fillId="3" borderId="46" xfId="0" applyFont="1" applyFill="1" applyBorder="1" applyAlignment="1" applyProtection="1">
      <alignment horizontal="left" vertical="center"/>
    </xf>
    <xf numFmtId="0" fontId="7" fillId="3" borderId="47" xfId="0" applyFont="1" applyFill="1" applyBorder="1" applyAlignment="1" applyProtection="1">
      <alignment horizontal="left" vertical="center"/>
    </xf>
    <xf numFmtId="0" fontId="32" fillId="8" borderId="2" xfId="0" applyFont="1" applyFill="1" applyBorder="1" applyAlignment="1" applyProtection="1">
      <alignment wrapText="1"/>
    </xf>
    <xf numFmtId="0" fontId="0" fillId="18" borderId="2" xfId="0" applyFill="1" applyBorder="1" applyAlignment="1" applyProtection="1">
      <alignment wrapText="1"/>
    </xf>
    <xf numFmtId="0" fontId="94" fillId="18" borderId="2" xfId="0" applyFont="1" applyFill="1" applyBorder="1" applyAlignment="1" applyProtection="1">
      <alignment wrapText="1"/>
    </xf>
    <xf numFmtId="0" fontId="94" fillId="18" borderId="3" xfId="0" applyFont="1" applyFill="1" applyBorder="1" applyAlignment="1" applyProtection="1">
      <alignment wrapText="1"/>
    </xf>
    <xf numFmtId="0" fontId="0" fillId="18" borderId="15" xfId="0" applyFill="1" applyBorder="1" applyAlignment="1" applyProtection="1">
      <alignment wrapText="1"/>
    </xf>
    <xf numFmtId="0" fontId="0" fillId="18" borderId="2" xfId="0" applyFont="1" applyFill="1" applyBorder="1" applyAlignment="1" applyProtection="1">
      <alignment wrapText="1"/>
    </xf>
    <xf numFmtId="0" fontId="0" fillId="12" borderId="5" xfId="0" applyFont="1" applyFill="1" applyBorder="1" applyAlignment="1" applyProtection="1">
      <alignment wrapText="1"/>
    </xf>
    <xf numFmtId="0" fontId="0" fillId="9" borderId="2" xfId="0" applyFill="1" applyBorder="1" applyAlignment="1" applyProtection="1">
      <alignment horizontal="left" indent="2"/>
    </xf>
    <xf numFmtId="0" fontId="0" fillId="12" borderId="3" xfId="0" applyFont="1" applyFill="1" applyBorder="1" applyAlignment="1" applyProtection="1">
      <alignment wrapText="1"/>
    </xf>
    <xf numFmtId="0" fontId="32" fillId="9" borderId="56" xfId="0" applyFont="1" applyFill="1" applyBorder="1" applyProtection="1"/>
    <xf numFmtId="0" fontId="0" fillId="12" borderId="15" xfId="0" applyFont="1" applyFill="1" applyBorder="1" applyAlignment="1" applyProtection="1">
      <alignment wrapText="1"/>
    </xf>
    <xf numFmtId="0" fontId="0" fillId="12" borderId="59" xfId="0" applyFont="1" applyFill="1" applyBorder="1" applyAlignment="1" applyProtection="1">
      <alignment wrapText="1"/>
    </xf>
    <xf numFmtId="0" fontId="0" fillId="9" borderId="2" xfId="0" applyFont="1" applyFill="1" applyBorder="1" applyAlignment="1" applyProtection="1">
      <alignment horizontal="left" indent="2"/>
    </xf>
    <xf numFmtId="0" fontId="32" fillId="0" borderId="56" xfId="0" applyFont="1" applyFill="1" applyBorder="1" applyProtection="1"/>
    <xf numFmtId="0" fontId="0" fillId="0" borderId="56" xfId="0" applyFont="1" applyFill="1" applyBorder="1" applyProtection="1"/>
    <xf numFmtId="0" fontId="0" fillId="0" borderId="58" xfId="0" applyFont="1" applyFill="1" applyBorder="1" applyProtection="1"/>
    <xf numFmtId="0" fontId="0" fillId="12" borderId="5" xfId="0" applyFont="1" applyFill="1" applyBorder="1" applyAlignment="1">
      <alignment wrapText="1"/>
    </xf>
    <xf numFmtId="0" fontId="0" fillId="0" borderId="59" xfId="0" applyFont="1" applyFill="1" applyBorder="1" applyAlignment="1" applyProtection="1">
      <alignment horizontal="left" indent="2"/>
    </xf>
    <xf numFmtId="0" fontId="32" fillId="20" borderId="2" xfId="0" applyFont="1" applyFill="1" applyBorder="1" applyAlignment="1" applyProtection="1">
      <alignment wrapText="1"/>
    </xf>
    <xf numFmtId="0" fontId="0" fillId="20" borderId="0" xfId="0" applyFill="1" applyAlignment="1" applyProtection="1"/>
    <xf numFmtId="0" fontId="0" fillId="12" borderId="54" xfId="0" applyFont="1" applyFill="1" applyBorder="1" applyAlignment="1" applyProtection="1">
      <alignment wrapText="1"/>
    </xf>
    <xf numFmtId="0" fontId="0" fillId="18" borderId="75" xfId="0" applyFill="1" applyBorder="1" applyProtection="1"/>
    <xf numFmtId="0" fontId="0" fillId="18" borderId="4" xfId="0" applyFill="1" applyBorder="1" applyProtection="1"/>
    <xf numFmtId="0" fontId="0" fillId="18" borderId="69" xfId="0" applyFill="1" applyBorder="1" applyProtection="1"/>
    <xf numFmtId="0" fontId="0" fillId="18" borderId="76" xfId="0" applyFill="1" applyBorder="1" applyProtection="1"/>
    <xf numFmtId="0" fontId="32" fillId="8" borderId="2" xfId="0" applyFont="1" applyFill="1" applyBorder="1" applyAlignment="1" applyProtection="1">
      <alignment horizontal="center" wrapText="1"/>
    </xf>
    <xf numFmtId="0" fontId="24" fillId="0" borderId="0" xfId="0" applyFont="1" applyAlignment="1" applyProtection="1">
      <alignment vertical="top"/>
    </xf>
    <xf numFmtId="10" fontId="0" fillId="18" borderId="0" xfId="0" applyNumberFormat="1" applyFill="1" applyProtection="1"/>
    <xf numFmtId="0" fontId="0" fillId="8" borderId="71" xfId="0" applyFill="1" applyBorder="1" applyProtection="1"/>
    <xf numFmtId="0" fontId="0" fillId="18" borderId="71" xfId="0" applyFill="1" applyBorder="1" applyProtection="1"/>
    <xf numFmtId="0" fontId="0" fillId="8" borderId="69" xfId="0" applyFill="1" applyBorder="1" applyProtection="1"/>
    <xf numFmtId="0" fontId="0" fillId="8" borderId="3" xfId="0" applyFill="1" applyBorder="1" applyProtection="1"/>
    <xf numFmtId="0" fontId="32" fillId="12" borderId="85" xfId="0" applyFont="1" applyFill="1" applyBorder="1" applyProtection="1"/>
    <xf numFmtId="0" fontId="32" fillId="12" borderId="15" xfId="0" applyFont="1" applyFill="1" applyBorder="1" applyProtection="1"/>
    <xf numFmtId="0" fontId="32" fillId="12" borderId="86" xfId="0" applyFont="1" applyFill="1" applyBorder="1" applyProtection="1"/>
    <xf numFmtId="0" fontId="0" fillId="12" borderId="85" xfId="0" applyFont="1" applyFill="1" applyBorder="1" applyProtection="1"/>
    <xf numFmtId="0" fontId="0" fillId="12" borderId="15" xfId="0" applyFont="1" applyFill="1" applyBorder="1" applyProtection="1"/>
    <xf numFmtId="0" fontId="0" fillId="12" borderId="86" xfId="0" applyFont="1" applyFill="1" applyBorder="1" applyProtection="1"/>
    <xf numFmtId="0" fontId="0" fillId="9" borderId="3" xfId="0" applyFill="1" applyBorder="1" applyProtection="1"/>
    <xf numFmtId="0" fontId="32" fillId="0" borderId="3" xfId="0" applyFont="1" applyBorder="1" applyProtection="1"/>
    <xf numFmtId="0" fontId="32" fillId="0" borderId="54" xfId="0" applyFont="1" applyBorder="1" applyProtection="1"/>
    <xf numFmtId="1" fontId="32" fillId="12" borderId="2" xfId="0" applyNumberFormat="1" applyFont="1" applyFill="1" applyBorder="1" applyProtection="1"/>
    <xf numFmtId="1" fontId="32" fillId="12" borderId="57" xfId="0" applyNumberFormat="1" applyFont="1" applyFill="1" applyBorder="1" applyProtection="1"/>
    <xf numFmtId="1" fontId="32" fillId="12" borderId="56" xfId="0" applyNumberFormat="1" applyFont="1" applyFill="1" applyBorder="1" applyProtection="1"/>
    <xf numFmtId="0" fontId="32" fillId="0" borderId="2" xfId="0" applyFont="1" applyBorder="1" applyProtection="1"/>
    <xf numFmtId="0" fontId="32" fillId="2" borderId="0" xfId="0" applyFont="1" applyFill="1" applyBorder="1" applyAlignment="1" applyProtection="1">
      <alignment vertical="center"/>
    </xf>
    <xf numFmtId="0" fontId="32" fillId="5" borderId="24" xfId="0" applyFont="1" applyFill="1" applyBorder="1" applyAlignment="1" applyProtection="1">
      <alignment horizontal="left" vertical="center" wrapText="1"/>
    </xf>
    <xf numFmtId="0" fontId="0" fillId="20" borderId="4" xfId="0" applyFill="1" applyBorder="1" applyProtection="1"/>
    <xf numFmtId="0" fontId="0" fillId="0" borderId="0" xfId="0"/>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8" fillId="4" borderId="0" xfId="0" applyFont="1" applyFill="1" applyBorder="1" applyAlignment="1">
      <alignment horizontal="center" vertical="center" wrapText="1"/>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3" fillId="5" borderId="142" xfId="0" applyFont="1" applyFill="1" applyBorder="1" applyProtection="1">
      <protection locked="0"/>
    </xf>
    <xf numFmtId="0" fontId="103" fillId="5" borderId="141" xfId="0" applyFont="1" applyFill="1" applyBorder="1" applyProtection="1">
      <protection locked="0"/>
    </xf>
    <xf numFmtId="1" fontId="32" fillId="12" borderId="57" xfId="0" applyNumberFormat="1" applyFont="1" applyFill="1" applyBorder="1" applyAlignment="1" applyProtection="1">
      <alignment horizontal="right"/>
    </xf>
    <xf numFmtId="1" fontId="32" fillId="12" borderId="56" xfId="0" applyNumberFormat="1" applyFont="1" applyFill="1" applyBorder="1" applyAlignment="1" applyProtection="1">
      <alignment horizontal="right"/>
    </xf>
    <xf numFmtId="1" fontId="32" fillId="12" borderId="2" xfId="0" applyNumberFormat="1" applyFont="1" applyFill="1" applyBorder="1" applyAlignment="1" applyProtection="1">
      <alignment horizontal="right"/>
    </xf>
    <xf numFmtId="0" fontId="0" fillId="20" borderId="56" xfId="0" applyFill="1" applyBorder="1" applyAlignment="1" applyProtection="1">
      <alignment horizontal="right"/>
    </xf>
    <xf numFmtId="1" fontId="32" fillId="12" borderId="61" xfId="0" applyNumberFormat="1" applyFont="1" applyFill="1" applyBorder="1" applyAlignment="1" applyProtection="1">
      <alignment horizontal="right"/>
    </xf>
    <xf numFmtId="1" fontId="32" fillId="12" borderId="5" xfId="0" applyNumberFormat="1" applyFont="1" applyFill="1" applyBorder="1" applyAlignment="1" applyProtection="1">
      <alignment horizontal="right"/>
    </xf>
    <xf numFmtId="1" fontId="0" fillId="12" borderId="2" xfId="0" applyNumberFormat="1" applyFont="1" applyFill="1" applyBorder="1" applyProtection="1"/>
    <xf numFmtId="1" fontId="0" fillId="12" borderId="57" xfId="0" applyNumberFormat="1" applyFont="1" applyFill="1" applyBorder="1" applyProtection="1"/>
    <xf numFmtId="1" fontId="0" fillId="12" borderId="56" xfId="0" applyNumberFormat="1" applyFont="1" applyFill="1" applyBorder="1" applyProtection="1"/>
    <xf numFmtId="0" fontId="24" fillId="0" borderId="2" xfId="0" applyFont="1" applyFill="1" applyBorder="1" applyAlignment="1" applyProtection="1">
      <alignment horizontal="left" indent="2"/>
    </xf>
    <xf numFmtId="0" fontId="24" fillId="2" borderId="0" xfId="0" applyFont="1" applyFill="1" applyBorder="1" applyProtection="1">
      <protection hidden="1"/>
    </xf>
    <xf numFmtId="0" fontId="0" fillId="0" borderId="86" xfId="0" applyBorder="1" applyProtection="1"/>
    <xf numFmtId="0" fontId="46" fillId="0" borderId="3" xfId="0" applyFont="1" applyBorder="1" applyProtection="1"/>
    <xf numFmtId="0" fontId="24" fillId="2" borderId="1" xfId="0" applyFont="1" applyFill="1" applyBorder="1" applyProtection="1">
      <protection hidden="1"/>
    </xf>
    <xf numFmtId="0" fontId="7" fillId="3" borderId="102" xfId="0" applyFont="1" applyFill="1" applyBorder="1" applyAlignment="1" applyProtection="1">
      <alignment horizontal="left" vertical="center"/>
    </xf>
    <xf numFmtId="0" fontId="7" fillId="3" borderId="150" xfId="0" applyFont="1" applyFill="1" applyBorder="1" applyAlignment="1" applyProtection="1">
      <alignment horizontal="left" vertical="center"/>
    </xf>
    <xf numFmtId="0" fontId="7" fillId="3" borderId="27" xfId="0" applyFont="1" applyFill="1" applyBorder="1" applyAlignment="1" applyProtection="1">
      <alignment horizontal="left" vertical="center"/>
    </xf>
    <xf numFmtId="0" fontId="0" fillId="0" borderId="7" xfId="0" applyFill="1" applyBorder="1" applyAlignment="1" applyProtection="1">
      <alignment horizontal="right"/>
    </xf>
    <xf numFmtId="1" fontId="32" fillId="20" borderId="2" xfId="0" applyNumberFormat="1" applyFont="1" applyFill="1" applyBorder="1" applyAlignment="1" applyProtection="1">
      <alignment horizontal="right"/>
    </xf>
    <xf numFmtId="1" fontId="32" fillId="20" borderId="57" xfId="0" applyNumberFormat="1" applyFont="1" applyFill="1" applyBorder="1" applyAlignment="1" applyProtection="1">
      <alignment horizontal="right"/>
    </xf>
    <xf numFmtId="0" fontId="0" fillId="22" borderId="2" xfId="0" applyFont="1" applyFill="1" applyBorder="1" applyAlignment="1" applyProtection="1">
      <alignment wrapText="1"/>
    </xf>
    <xf numFmtId="0" fontId="0" fillId="20" borderId="71" xfId="0" applyFill="1" applyBorder="1" applyProtection="1"/>
    <xf numFmtId="0" fontId="0" fillId="9" borderId="56" xfId="0" applyFill="1" applyBorder="1" applyProtection="1"/>
    <xf numFmtId="0" fontId="0" fillId="18" borderId="0" xfId="0" applyFill="1" applyAlignment="1"/>
    <xf numFmtId="0" fontId="55" fillId="0" borderId="148" xfId="0" applyFont="1" applyBorder="1" applyAlignment="1" applyProtection="1">
      <alignment vertical="top"/>
      <protection locked="0"/>
    </xf>
    <xf numFmtId="0" fontId="55" fillId="0" borderId="0" xfId="0" applyFont="1" applyBorder="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55" fillId="0" borderId="0" xfId="0" applyFont="1" applyBorder="1" applyAlignment="1" applyProtection="1">
      <protection locked="0"/>
    </xf>
    <xf numFmtId="0" fontId="0" fillId="20" borderId="69" xfId="0" applyFill="1" applyBorder="1" applyProtection="1"/>
    <xf numFmtId="0" fontId="0" fillId="20" borderId="76" xfId="0" applyFill="1" applyBorder="1" applyProtection="1"/>
    <xf numFmtId="0" fontId="0" fillId="20" borderId="75" xfId="0" applyFill="1" applyBorder="1" applyProtection="1"/>
    <xf numFmtId="166" fontId="0" fillId="20" borderId="69" xfId="0" applyNumberFormat="1" applyFill="1" applyBorder="1" applyProtection="1"/>
    <xf numFmtId="0" fontId="0" fillId="0" borderId="0" xfId="0"/>
    <xf numFmtId="166" fontId="0" fillId="8" borderId="69" xfId="0" applyNumberFormat="1" applyFill="1" applyBorder="1" applyProtection="1"/>
    <xf numFmtId="166" fontId="0" fillId="18" borderId="69" xfId="0" applyNumberFormat="1" applyFill="1" applyBorder="1" applyProtection="1"/>
    <xf numFmtId="0" fontId="0" fillId="0" borderId="0" xfId="0"/>
    <xf numFmtId="0" fontId="0" fillId="0" borderId="0" xfId="0"/>
    <xf numFmtId="0" fontId="51" fillId="4" borderId="0" xfId="0" applyFont="1" applyFill="1" applyBorder="1" applyAlignment="1">
      <alignment horizontal="center" vertical="top" wrapText="1"/>
    </xf>
    <xf numFmtId="0" fontId="51" fillId="0" borderId="0" xfId="0" applyFont="1"/>
    <xf numFmtId="0" fontId="51" fillId="0" borderId="0" xfId="0" applyFont="1" applyAlignment="1">
      <alignment horizontal="center"/>
    </xf>
    <xf numFmtId="0" fontId="100" fillId="0" borderId="2" xfId="3" applyFont="1" applyFill="1" applyBorder="1"/>
    <xf numFmtId="0" fontId="100" fillId="0" borderId="2" xfId="3" applyFont="1" applyFill="1" applyBorder="1" applyAlignment="1">
      <alignment vertical="top"/>
    </xf>
    <xf numFmtId="0" fontId="101" fillId="0" borderId="2" xfId="3" applyFont="1" applyFill="1" applyBorder="1"/>
    <xf numFmtId="0" fontId="101" fillId="0" borderId="2" xfId="3" applyFont="1" applyFill="1" applyBorder="1" applyAlignment="1">
      <alignment vertical="top"/>
    </xf>
    <xf numFmtId="0" fontId="100" fillId="0" borderId="2" xfId="3" applyFont="1" applyFill="1" applyBorder="1" applyAlignment="1">
      <alignment horizontal="right"/>
    </xf>
    <xf numFmtId="0" fontId="100" fillId="0" borderId="4" xfId="3" applyFont="1" applyFill="1" applyBorder="1"/>
    <xf numFmtId="0" fontId="100" fillId="0" borderId="0" xfId="3" applyFont="1" applyFill="1" applyBorder="1"/>
    <xf numFmtId="0" fontId="55" fillId="0" borderId="0" xfId="0" applyFont="1" applyAlignment="1" applyProtection="1">
      <alignment vertical="top"/>
      <protection locked="0"/>
    </xf>
    <xf numFmtId="0" fontId="55" fillId="0" borderId="0" xfId="0" applyFont="1" applyAlignment="1" applyProtection="1">
      <alignment vertical="top" wrapText="1"/>
      <protection locked="0"/>
    </xf>
    <xf numFmtId="0" fontId="55" fillId="0" borderId="0" xfId="0" applyFont="1" applyProtection="1">
      <protection locked="0"/>
    </xf>
    <xf numFmtId="0" fontId="51" fillId="0" borderId="2" xfId="0" applyFont="1" applyBorder="1" applyAlignment="1">
      <alignment horizontal="center"/>
    </xf>
    <xf numFmtId="0" fontId="102" fillId="0" borderId="2" xfId="0" applyFont="1" applyBorder="1" applyAlignment="1">
      <alignment horizontal="center"/>
    </xf>
    <xf numFmtId="0" fontId="102" fillId="0" borderId="2" xfId="0" applyFont="1" applyBorder="1" applyAlignment="1">
      <alignment horizontal="center" vertical="top"/>
    </xf>
    <xf numFmtId="0" fontId="102"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51" fillId="0" borderId="4" xfId="0" applyFont="1" applyBorder="1" applyAlignment="1">
      <alignment horizontal="center"/>
    </xf>
    <xf numFmtId="0" fontId="55" fillId="0" borderId="12" xfId="0" applyFont="1" applyBorder="1" applyProtection="1">
      <protection locked="0"/>
    </xf>
    <xf numFmtId="0" fontId="0" fillId="0" borderId="73" xfId="0" applyBorder="1" applyProtection="1"/>
    <xf numFmtId="0" fontId="32" fillId="8" borderId="2" xfId="0" applyFont="1" applyFill="1" applyBorder="1" applyAlignment="1" applyProtection="1">
      <alignment horizontal="right" wrapText="1"/>
    </xf>
    <xf numFmtId="0" fontId="26" fillId="20" borderId="2" xfId="0" applyFont="1" applyFill="1" applyBorder="1" applyAlignment="1" applyProtection="1">
      <alignment horizontal="center" vertical="center"/>
    </xf>
    <xf numFmtId="0" fontId="107" fillId="4" borderId="0" xfId="0" applyFont="1" applyFill="1" applyBorder="1" applyAlignment="1" applyProtection="1">
      <alignment vertical="top" wrapText="1"/>
      <protection hidden="1"/>
    </xf>
    <xf numFmtId="0" fontId="24" fillId="4" borderId="0" xfId="0" applyFont="1" applyFill="1" applyBorder="1" applyAlignment="1" applyProtection="1">
      <alignment horizontal="left" vertical="center" wrapText="1"/>
      <protection hidden="1"/>
    </xf>
    <xf numFmtId="0" fontId="26" fillId="20" borderId="7"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indent="2"/>
    </xf>
    <xf numFmtId="0" fontId="23" fillId="4" borderId="0" xfId="0" applyFont="1" applyFill="1" applyAlignment="1" applyProtection="1">
      <alignment vertical="center"/>
    </xf>
    <xf numFmtId="0" fontId="26" fillId="0" borderId="7" xfId="0" applyFont="1" applyFill="1" applyBorder="1" applyAlignment="1" applyProtection="1">
      <alignment horizontal="center" vertical="center"/>
      <protection locked="0"/>
    </xf>
    <xf numFmtId="0" fontId="25" fillId="6" borderId="124" xfId="0" applyFont="1" applyFill="1" applyBorder="1" applyAlignment="1" applyProtection="1">
      <alignment vertical="center"/>
    </xf>
    <xf numFmtId="0" fontId="23" fillId="4" borderId="0" xfId="0" applyFont="1" applyFill="1" applyBorder="1" applyAlignment="1" applyProtection="1">
      <alignment horizontal="right" vertical="center"/>
      <protection hidden="1"/>
    </xf>
    <xf numFmtId="0" fontId="23" fillId="4" borderId="0"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xf>
    <xf numFmtId="0" fontId="24" fillId="4" borderId="0" xfId="0" applyFont="1" applyFill="1" applyBorder="1" applyAlignment="1" applyProtection="1">
      <alignment horizontal="right" wrapText="1"/>
      <protection hidden="1"/>
    </xf>
    <xf numFmtId="0" fontId="24" fillId="4" borderId="0" xfId="0" applyFont="1" applyFill="1" applyAlignment="1" applyProtection="1">
      <alignment horizontal="right"/>
      <protection hidden="1"/>
    </xf>
    <xf numFmtId="0" fontId="103" fillId="5" borderId="24" xfId="0" applyFont="1" applyFill="1" applyBorder="1" applyAlignment="1" applyProtection="1">
      <alignment horizontal="left" vertical="center"/>
    </xf>
    <xf numFmtId="0" fontId="104" fillId="5" borderId="88" xfId="0" applyFont="1" applyFill="1" applyBorder="1" applyAlignment="1" applyProtection="1">
      <alignment horizontal="left" vertical="center" wrapText="1"/>
    </xf>
    <xf numFmtId="0" fontId="0" fillId="5" borderId="24" xfId="0" applyFont="1" applyFill="1" applyBorder="1" applyAlignment="1" applyProtection="1">
      <alignment vertical="center"/>
    </xf>
    <xf numFmtId="0" fontId="32" fillId="5" borderId="88" xfId="0" applyFont="1" applyFill="1" applyBorder="1" applyAlignment="1" applyProtection="1">
      <alignment vertical="center"/>
    </xf>
    <xf numFmtId="0" fontId="28" fillId="6" borderId="0" xfId="0" applyFont="1" applyFill="1" applyBorder="1" applyAlignment="1" applyProtection="1">
      <alignment vertical="center"/>
    </xf>
    <xf numFmtId="0" fontId="0" fillId="2" borderId="0" xfId="0" applyFill="1" applyBorder="1" applyAlignment="1" applyProtection="1">
      <alignment vertical="center" wrapText="1"/>
    </xf>
    <xf numFmtId="0" fontId="28" fillId="6" borderId="0" xfId="0" applyFont="1" applyFill="1" applyBorder="1" applyAlignment="1" applyProtection="1">
      <alignment vertical="center" wrapText="1"/>
    </xf>
    <xf numFmtId="0" fontId="0" fillId="5" borderId="24" xfId="0" applyFont="1" applyFill="1" applyBorder="1" applyAlignment="1" applyProtection="1">
      <alignment vertical="center" wrapText="1"/>
    </xf>
    <xf numFmtId="0" fontId="32" fillId="5" borderId="24" xfId="0" applyFont="1" applyFill="1" applyBorder="1" applyAlignment="1" applyProtection="1">
      <alignment vertical="center" wrapText="1"/>
    </xf>
    <xf numFmtId="0" fontId="32" fillId="5" borderId="88" xfId="0" applyFont="1" applyFill="1" applyBorder="1" applyAlignment="1" applyProtection="1">
      <alignment vertical="center" wrapText="1"/>
    </xf>
    <xf numFmtId="0" fontId="103" fillId="5" borderId="24" xfId="0" applyFont="1" applyFill="1" applyBorder="1" applyAlignment="1" applyProtection="1">
      <alignment vertical="center"/>
    </xf>
    <xf numFmtId="0" fontId="103" fillId="5" borderId="24" xfId="0" applyFont="1" applyFill="1" applyBorder="1" applyAlignment="1" applyProtection="1">
      <alignment vertical="center" wrapText="1"/>
    </xf>
    <xf numFmtId="164" fontId="26" fillId="5" borderId="25" xfId="0" applyNumberFormat="1" applyFont="1" applyFill="1" applyBorder="1" applyAlignment="1" applyProtection="1">
      <alignment horizontal="center" vertical="center"/>
    </xf>
    <xf numFmtId="164" fontId="37" fillId="5" borderId="34" xfId="0" applyNumberFormat="1" applyFont="1" applyFill="1" applyBorder="1" applyAlignment="1" applyProtection="1">
      <alignment horizontal="center" vertical="center"/>
    </xf>
    <xf numFmtId="0" fontId="0" fillId="2" borderId="0" xfId="0" applyFill="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applyProtection="1"/>
    <xf numFmtId="0" fontId="0" fillId="8" borderId="7" xfId="0" applyFill="1" applyBorder="1" applyProtection="1"/>
    <xf numFmtId="0" fontId="0" fillId="18" borderId="5" xfId="0" applyFill="1" applyBorder="1" applyProtection="1"/>
    <xf numFmtId="0" fontId="0" fillId="8" borderId="9" xfId="0" applyFill="1" applyBorder="1" applyProtection="1"/>
    <xf numFmtId="0" fontId="0" fillId="18" borderId="7" xfId="0" applyFill="1" applyBorder="1" applyProtection="1"/>
    <xf numFmtId="0" fontId="0" fillId="0" borderId="10" xfId="0" applyBorder="1" applyProtection="1"/>
    <xf numFmtId="0" fontId="0" fillId="13" borderId="99" xfId="0" applyFill="1" applyBorder="1" applyProtection="1"/>
    <xf numFmtId="0" fontId="0" fillId="9" borderId="81" xfId="0" applyFill="1" applyBorder="1" applyProtection="1"/>
    <xf numFmtId="0" fontId="0" fillId="8" borderId="152" xfId="0" applyFill="1" applyBorder="1" applyProtection="1"/>
    <xf numFmtId="0" fontId="94" fillId="0" borderId="2" xfId="0" applyFont="1" applyFill="1" applyBorder="1" applyAlignment="1" applyProtection="1">
      <alignment horizontal="left" indent="2"/>
    </xf>
    <xf numFmtId="0" fontId="94" fillId="0" borderId="0" xfId="0" applyFont="1"/>
    <xf numFmtId="0" fontId="108" fillId="0" borderId="119" xfId="0" applyFont="1" applyBorder="1" applyProtection="1">
      <protection locked="0"/>
    </xf>
    <xf numFmtId="0" fontId="109" fillId="0" borderId="148" xfId="0" applyFont="1" applyBorder="1" applyAlignment="1" applyProtection="1">
      <alignment vertical="top"/>
      <protection locked="0"/>
    </xf>
    <xf numFmtId="0" fontId="0" fillId="8" borderId="61" xfId="0" applyFill="1" applyBorder="1" applyProtection="1"/>
    <xf numFmtId="0" fontId="32" fillId="0" borderId="5" xfId="0" applyFont="1" applyBorder="1" applyProtection="1"/>
    <xf numFmtId="0" fontId="0" fillId="12" borderId="5" xfId="0" applyFill="1" applyBorder="1" applyAlignment="1" applyProtection="1">
      <alignment wrapText="1"/>
    </xf>
    <xf numFmtId="0" fontId="0" fillId="12" borderId="62" xfId="0" applyFill="1" applyBorder="1" applyAlignment="1" applyProtection="1">
      <alignment wrapText="1"/>
    </xf>
    <xf numFmtId="0" fontId="0" fillId="12" borderId="61" xfId="0" applyFill="1" applyBorder="1" applyProtection="1"/>
    <xf numFmtId="0" fontId="0" fillId="12" borderId="5" xfId="0" applyFill="1" applyBorder="1" applyProtection="1"/>
    <xf numFmtId="0" fontId="0" fillId="12" borderId="62" xfId="0" applyFill="1" applyBorder="1" applyProtection="1"/>
    <xf numFmtId="0" fontId="0" fillId="0" borderId="55" xfId="0" applyFill="1" applyBorder="1" applyAlignment="1" applyProtection="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Fill="1" applyBorder="1" applyAlignment="1" applyProtection="1">
      <alignment horizontal="left" vertical="top" wrapText="1"/>
      <protection locked="0"/>
    </xf>
    <xf numFmtId="0" fontId="0" fillId="23" borderId="56" xfId="0" applyFill="1" applyBorder="1" applyAlignment="1" applyProtection="1">
      <alignment horizontal="right"/>
    </xf>
    <xf numFmtId="0" fontId="110" fillId="0" borderId="2" xfId="0" applyFont="1" applyFill="1" applyBorder="1" applyAlignment="1" applyProtection="1">
      <alignment horizontal="left" indent="2"/>
    </xf>
    <xf numFmtId="0" fontId="106" fillId="3" borderId="101" xfId="0" applyFont="1" applyFill="1" applyBorder="1" applyAlignment="1" applyProtection="1">
      <alignment horizontal="right" vertical="center" wrapText="1"/>
      <protection hidden="1"/>
    </xf>
    <xf numFmtId="0" fontId="0" fillId="22" borderId="15" xfId="0" applyFont="1" applyFill="1" applyBorder="1" applyAlignment="1" applyProtection="1">
      <alignment wrapText="1"/>
    </xf>
    <xf numFmtId="0" fontId="32" fillId="13" borderId="65" xfId="0" applyFont="1" applyFill="1" applyBorder="1" applyAlignment="1" applyProtection="1">
      <alignment wrapText="1"/>
    </xf>
    <xf numFmtId="0" fontId="94" fillId="0" borderId="3" xfId="0" applyFont="1" applyFill="1" applyBorder="1" applyAlignment="1" applyProtection="1">
      <alignment horizontal="left" indent="2"/>
    </xf>
    <xf numFmtId="0" fontId="0" fillId="12" borderId="55" xfId="0" applyFont="1" applyFill="1" applyBorder="1" applyAlignment="1" applyProtection="1">
      <alignment wrapText="1"/>
    </xf>
    <xf numFmtId="0" fontId="0" fillId="12" borderId="57" xfId="0" applyFont="1" applyFill="1" applyBorder="1" applyAlignment="1" applyProtection="1">
      <alignment wrapText="1"/>
    </xf>
    <xf numFmtId="0" fontId="0" fillId="12" borderId="60" xfId="0" applyFont="1" applyFill="1" applyBorder="1" applyAlignment="1" applyProtection="1">
      <alignment wrapText="1"/>
    </xf>
    <xf numFmtId="0" fontId="94" fillId="0" borderId="2" xfId="0" applyFont="1" applyBorder="1" applyProtection="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NumberFormat="1" applyFont="1" applyFill="1" applyBorder="1" applyAlignment="1" applyProtection="1">
      <alignment horizontal="center" vertical="center"/>
      <protection hidden="1"/>
    </xf>
    <xf numFmtId="9" fontId="77" fillId="5" borderId="155" xfId="2" applyNumberFormat="1"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23" fillId="10" borderId="2" xfId="0" applyFont="1" applyFill="1" applyBorder="1" applyProtection="1"/>
    <xf numFmtId="0" fontId="32" fillId="0" borderId="2" xfId="0" applyFont="1" applyFill="1" applyBorder="1" applyProtection="1"/>
    <xf numFmtId="0" fontId="0" fillId="0" borderId="2" xfId="0" applyFont="1" applyFill="1" applyBorder="1" applyProtection="1"/>
    <xf numFmtId="0" fontId="90" fillId="10" borderId="2" xfId="0" applyFont="1" applyFill="1" applyBorder="1" applyProtection="1"/>
    <xf numFmtId="0" fontId="0" fillId="0" borderId="72" xfId="0" applyBorder="1" applyProtection="1"/>
    <xf numFmtId="0" fontId="7" fillId="3" borderId="4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165" fontId="7" fillId="3" borderId="158" xfId="0" applyNumberFormat="1" applyFont="1" applyFill="1" applyBorder="1" applyAlignment="1" applyProtection="1">
      <alignment horizontal="left" vertical="center"/>
    </xf>
    <xf numFmtId="0" fontId="0" fillId="0" borderId="27" xfId="0" applyBorder="1" applyProtection="1"/>
    <xf numFmtId="0" fontId="16" fillId="3" borderId="105" xfId="0" applyFont="1" applyFill="1" applyBorder="1" applyAlignment="1" applyProtection="1">
      <alignment horizontal="right" vertical="center"/>
      <protection hidden="1"/>
    </xf>
    <xf numFmtId="0" fontId="0" fillId="24" borderId="56" xfId="0" applyFill="1" applyBorder="1" applyAlignment="1" applyProtection="1">
      <alignment horizontal="right"/>
    </xf>
    <xf numFmtId="0" fontId="32" fillId="0" borderId="15" xfId="0" applyFont="1" applyFill="1" applyBorder="1" applyProtection="1"/>
    <xf numFmtId="0" fontId="32" fillId="0" borderId="3" xfId="0" applyFont="1" applyBorder="1" applyAlignment="1" applyProtection="1">
      <alignment wrapText="1"/>
    </xf>
    <xf numFmtId="0" fontId="19" fillId="3" borderId="41" xfId="0" applyFont="1" applyFill="1" applyBorder="1" applyAlignment="1" applyProtection="1">
      <alignment vertical="top"/>
    </xf>
    <xf numFmtId="0" fontId="0" fillId="0" borderId="6" xfId="0" applyBorder="1" applyProtection="1"/>
    <xf numFmtId="0" fontId="0" fillId="8" borderId="6" xfId="0" applyFill="1" applyBorder="1" applyProtection="1"/>
    <xf numFmtId="0" fontId="0" fillId="18" borderId="6" xfId="0" applyFill="1" applyBorder="1" applyProtection="1"/>
    <xf numFmtId="0" fontId="0" fillId="13" borderId="159" xfId="0" applyFill="1" applyBorder="1" applyProtection="1"/>
    <xf numFmtId="0" fontId="0" fillId="10" borderId="77" xfId="0" applyFill="1" applyBorder="1" applyProtection="1"/>
    <xf numFmtId="0" fontId="0" fillId="9" borderId="77" xfId="0" applyFill="1" applyBorder="1" applyProtection="1"/>
    <xf numFmtId="0" fontId="0" fillId="0" borderId="9" xfId="0" applyBorder="1" applyProtection="1"/>
    <xf numFmtId="0" fontId="23" fillId="10" borderId="77" xfId="0" applyFont="1" applyFill="1" applyBorder="1" applyAlignment="1" applyProtection="1">
      <alignment wrapText="1"/>
    </xf>
    <xf numFmtId="0" fontId="0" fillId="0" borderId="6" xfId="0" applyFill="1" applyBorder="1" applyProtection="1"/>
    <xf numFmtId="0" fontId="0" fillId="0" borderId="160" xfId="0" applyBorder="1" applyProtection="1"/>
    <xf numFmtId="0" fontId="32" fillId="13" borderId="118" xfId="0" applyFont="1" applyFill="1" applyBorder="1" applyAlignment="1" applyProtection="1">
      <alignment wrapText="1"/>
    </xf>
    <xf numFmtId="0" fontId="0" fillId="8" borderId="161" xfId="0" applyFill="1" applyBorder="1" applyProtection="1"/>
    <xf numFmtId="0" fontId="23" fillId="10" borderId="55" xfId="0" applyFont="1" applyFill="1" applyBorder="1" applyProtection="1"/>
    <xf numFmtId="0" fontId="32" fillId="8" borderId="57" xfId="0" applyFont="1" applyFill="1" applyBorder="1" applyAlignment="1" applyProtection="1">
      <alignment horizontal="right" wrapText="1"/>
    </xf>
    <xf numFmtId="0" fontId="0" fillId="18" borderId="57" xfId="0" applyFill="1" applyBorder="1" applyProtection="1"/>
    <xf numFmtId="0" fontId="32" fillId="13" borderId="60" xfId="0" applyFont="1" applyFill="1" applyBorder="1" applyAlignment="1" applyProtection="1">
      <alignment wrapText="1"/>
    </xf>
    <xf numFmtId="0" fontId="23" fillId="10" borderId="106" xfId="0" applyFont="1" applyFill="1" applyBorder="1" applyProtection="1"/>
    <xf numFmtId="0" fontId="0" fillId="8" borderId="7" xfId="0" applyFont="1" applyFill="1" applyBorder="1" applyAlignment="1" applyProtection="1">
      <alignment horizontal="center" wrapText="1"/>
    </xf>
    <xf numFmtId="0" fontId="23" fillId="10" borderId="68" xfId="0" applyFont="1" applyFill="1" applyBorder="1" applyAlignment="1" applyProtection="1">
      <alignment wrapText="1"/>
    </xf>
    <xf numFmtId="0" fontId="32" fillId="8" borderId="7" xfId="0" applyFont="1" applyFill="1" applyBorder="1" applyAlignment="1" applyProtection="1">
      <alignment horizontal="center" wrapText="1"/>
    </xf>
    <xf numFmtId="0" fontId="0" fillId="13" borderId="118" xfId="0" applyFill="1" applyBorder="1" applyProtection="1"/>
    <xf numFmtId="0" fontId="0" fillId="18" borderId="70" xfId="0" applyFill="1" applyBorder="1" applyProtection="1"/>
    <xf numFmtId="0" fontId="0" fillId="0" borderId="152" xfId="0" applyBorder="1" applyProtection="1"/>
    <xf numFmtId="0" fontId="0" fillId="20" borderId="2" xfId="0" applyFill="1" applyBorder="1" applyProtection="1"/>
    <xf numFmtId="0" fontId="0" fillId="0" borderId="81" xfId="0" applyBorder="1" applyProtection="1"/>
    <xf numFmtId="0" fontId="0" fillId="8" borderId="0" xfId="0" applyFill="1" applyBorder="1" applyProtection="1"/>
    <xf numFmtId="0" fontId="0" fillId="8" borderId="19" xfId="0" applyFill="1" applyBorder="1" applyProtection="1"/>
    <xf numFmtId="0" fontId="0" fillId="8" borderId="73" xfId="0" applyFill="1" applyBorder="1" applyProtection="1"/>
    <xf numFmtId="0" fontId="0" fillId="8" borderId="19" xfId="0" applyFont="1" applyFill="1" applyBorder="1" applyProtection="1"/>
    <xf numFmtId="0" fontId="0" fillId="8" borderId="22" xfId="0" applyFill="1" applyBorder="1" applyProtection="1"/>
    <xf numFmtId="0" fontId="0" fillId="20" borderId="0" xfId="0" applyFill="1" applyBorder="1" applyAlignment="1" applyProtection="1">
      <alignment horizontal="right"/>
    </xf>
    <xf numFmtId="1" fontId="0" fillId="20" borderId="2" xfId="0" applyNumberFormat="1" applyFont="1" applyFill="1" applyBorder="1" applyProtection="1"/>
    <xf numFmtId="1" fontId="0" fillId="20" borderId="57" xfId="0" applyNumberFormat="1" applyFont="1" applyFill="1" applyBorder="1" applyProtection="1"/>
    <xf numFmtId="1" fontId="32" fillId="20" borderId="57" xfId="0" applyNumberFormat="1" applyFont="1" applyFill="1" applyBorder="1" applyProtection="1"/>
    <xf numFmtId="1" fontId="0" fillId="20" borderId="56" xfId="0" applyNumberFormat="1" applyFill="1" applyBorder="1" applyProtection="1"/>
    <xf numFmtId="1" fontId="0" fillId="20" borderId="2" xfId="0" applyNumberFormat="1" applyFill="1" applyBorder="1" applyProtection="1"/>
    <xf numFmtId="1" fontId="0" fillId="20" borderId="57" xfId="0" applyNumberFormat="1" applyFill="1" applyBorder="1" applyProtection="1"/>
    <xf numFmtId="0" fontId="32" fillId="2" borderId="0" xfId="0" applyFont="1" applyFill="1" applyProtection="1">
      <protection hidden="1"/>
    </xf>
    <xf numFmtId="0" fontId="0" fillId="8" borderId="7" xfId="0" applyFont="1" applyFill="1" applyBorder="1" applyProtection="1">
      <protection hidden="1"/>
    </xf>
    <xf numFmtId="0" fontId="0" fillId="0" borderId="2" xfId="0" applyBorder="1" applyProtection="1">
      <protection hidden="1"/>
    </xf>
    <xf numFmtId="0" fontId="0" fillId="0" borderId="2" xfId="0" applyFont="1" applyBorder="1" applyProtection="1">
      <protection hidden="1"/>
    </xf>
    <xf numFmtId="0" fontId="106"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Border="1" applyAlignment="1" applyProtection="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Border="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2"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57" fillId="2" borderId="0" xfId="0" applyFont="1" applyFill="1" applyBorder="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0"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Border="1" applyAlignment="1" applyProtection="1">
      <alignment horizontal="left" vertical="center" wrapText="1"/>
      <protection hidden="1"/>
    </xf>
    <xf numFmtId="0" fontId="0" fillId="20" borderId="56" xfId="0" applyFill="1" applyBorder="1" applyProtection="1"/>
    <xf numFmtId="0" fontId="58" fillId="2" borderId="0" xfId="0" applyFont="1" applyFill="1" applyBorder="1" applyProtection="1">
      <protection hidden="1"/>
    </xf>
    <xf numFmtId="0" fontId="58" fillId="4" borderId="0" xfId="0" applyFont="1" applyFill="1" applyBorder="1"/>
    <xf numFmtId="0" fontId="0" fillId="22" borderId="59" xfId="0" applyFont="1" applyFill="1" applyBorder="1" applyAlignment="1" applyProtection="1">
      <alignment wrapText="1"/>
    </xf>
    <xf numFmtId="0" fontId="32" fillId="22" borderId="2" xfId="0" applyFont="1" applyFill="1" applyBorder="1" applyAlignment="1" applyProtection="1">
      <alignment wrapText="1"/>
    </xf>
    <xf numFmtId="0" fontId="0" fillId="12" borderId="0" xfId="0" applyFill="1" applyBorder="1" applyProtection="1"/>
    <xf numFmtId="0" fontId="24" fillId="0" borderId="0" xfId="0" applyFont="1" applyBorder="1" applyProtection="1"/>
    <xf numFmtId="0" fontId="24" fillId="0" borderId="0" xfId="0" applyFont="1" applyFill="1" applyBorder="1" applyAlignment="1" applyProtection="1">
      <alignment horizontal="right"/>
    </xf>
    <xf numFmtId="0" fontId="24" fillId="4" borderId="0" xfId="0" applyFont="1" applyFill="1" applyAlignment="1" applyProtection="1">
      <alignment vertical="center"/>
      <protection hidden="1"/>
    </xf>
    <xf numFmtId="0" fontId="24" fillId="4" borderId="0" xfId="0" applyFont="1" applyFill="1" applyAlignment="1" applyProtection="1">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3" fillId="4" borderId="0" xfId="0" applyFont="1" applyFill="1"/>
    <xf numFmtId="0" fontId="32" fillId="8" borderId="0" xfId="0" applyFont="1" applyFill="1" applyProtection="1">
      <protection hidden="1"/>
    </xf>
    <xf numFmtId="0" fontId="0" fillId="21" borderId="0" xfId="0" applyFill="1" applyAlignment="1" applyProtection="1">
      <alignment wrapText="1"/>
    </xf>
    <xf numFmtId="0" fontId="23" fillId="21" borderId="81" xfId="0" applyFont="1" applyFill="1" applyBorder="1" applyAlignment="1" applyProtection="1">
      <alignment horizontal="center" wrapText="1"/>
    </xf>
    <xf numFmtId="0" fontId="0" fillId="25" borderId="0" xfId="0" applyFill="1"/>
    <xf numFmtId="0" fontId="23" fillId="25" borderId="149" xfId="0" applyFont="1" applyFill="1" applyBorder="1" applyAlignment="1" applyProtection="1">
      <alignment horizontal="center" wrapText="1"/>
    </xf>
    <xf numFmtId="0" fontId="0" fillId="26" borderId="0" xfId="0" applyFill="1" applyAlignment="1" applyProtection="1">
      <alignment wrapText="1"/>
    </xf>
    <xf numFmtId="0" fontId="23" fillId="26" borderId="81" xfId="0" applyFont="1" applyFill="1" applyBorder="1" applyAlignment="1" applyProtection="1">
      <alignment horizontal="center" wrapText="1"/>
    </xf>
    <xf numFmtId="0" fontId="0" fillId="27" borderId="0" xfId="0" applyFill="1" applyAlignment="1" applyProtection="1"/>
    <xf numFmtId="0" fontId="23" fillId="27" borderId="149" xfId="0" applyFont="1" applyFill="1" applyBorder="1" applyAlignment="1" applyProtection="1">
      <alignment horizontal="center" wrapText="1"/>
    </xf>
    <xf numFmtId="0" fontId="94" fillId="25" borderId="2" xfId="0" applyFont="1" applyFill="1" applyBorder="1" applyAlignment="1" applyProtection="1">
      <alignment horizontal="left" indent="2"/>
    </xf>
    <xf numFmtId="0" fontId="32" fillId="25" borderId="53" xfId="0" applyFont="1" applyFill="1" applyBorder="1" applyProtection="1"/>
    <xf numFmtId="0" fontId="32" fillId="25" borderId="56" xfId="0" applyFont="1" applyFill="1" applyBorder="1" applyProtection="1"/>
    <xf numFmtId="0" fontId="32" fillId="25" borderId="58" xfId="0" applyFont="1" applyFill="1" applyBorder="1" applyProtection="1"/>
    <xf numFmtId="0" fontId="32" fillId="25" borderId="3" xfId="0" applyFont="1" applyFill="1" applyBorder="1" applyProtection="1"/>
    <xf numFmtId="0" fontId="110" fillId="25" borderId="2" xfId="0" applyFont="1" applyFill="1" applyBorder="1" applyAlignment="1" applyProtection="1">
      <alignment horizontal="left" indent="2"/>
    </xf>
    <xf numFmtId="0" fontId="110" fillId="25" borderId="59" xfId="0" applyFont="1" applyFill="1" applyBorder="1" applyAlignment="1" applyProtection="1">
      <alignment horizontal="left" indent="2"/>
    </xf>
    <xf numFmtId="0" fontId="0" fillId="5" borderId="24" xfId="0" applyFont="1" applyFill="1" applyBorder="1" applyAlignment="1" applyProtection="1">
      <alignment horizontal="left" vertical="center" indent="5"/>
    </xf>
    <xf numFmtId="0" fontId="32" fillId="5" borderId="24"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indent="2"/>
      <protection hidden="1"/>
    </xf>
    <xf numFmtId="0" fontId="32" fillId="5" borderId="88"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indent="4"/>
      <protection hidden="1"/>
    </xf>
    <xf numFmtId="0" fontId="0" fillId="5" borderId="24" xfId="0" applyFont="1" applyFill="1" applyBorder="1" applyAlignment="1" applyProtection="1">
      <alignment horizontal="left" vertical="center"/>
      <protection hidden="1"/>
    </xf>
    <xf numFmtId="0" fontId="58" fillId="4" borderId="12" xfId="0" applyFont="1" applyFill="1" applyBorder="1" applyProtection="1">
      <protection hidden="1"/>
    </xf>
    <xf numFmtId="0" fontId="74" fillId="4" borderId="0" xfId="0" applyFont="1" applyFill="1" applyProtection="1">
      <protection hidden="1"/>
    </xf>
    <xf numFmtId="0" fontId="58"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32"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58" fillId="4" borderId="0" xfId="0" applyFont="1" applyFill="1" applyBorder="1" applyProtection="1">
      <protection hidden="1"/>
    </xf>
    <xf numFmtId="0" fontId="32" fillId="4" borderId="0" xfId="0" applyFont="1" applyFill="1" applyProtection="1">
      <protection hidden="1"/>
    </xf>
    <xf numFmtId="0" fontId="23" fillId="4" borderId="0" xfId="0" applyFont="1" applyFill="1" applyProtection="1">
      <protection hidden="1"/>
    </xf>
    <xf numFmtId="0" fontId="23" fillId="4" borderId="0" xfId="0" applyFont="1" applyFill="1" applyBorder="1" applyProtection="1">
      <protection hidden="1"/>
    </xf>
    <xf numFmtId="16" fontId="0" fillId="0" borderId="2" xfId="0" applyNumberFormat="1" applyBorder="1"/>
    <xf numFmtId="0" fontId="103" fillId="5" borderId="6" xfId="0" applyFont="1" applyFill="1" applyBorder="1" applyProtection="1">
      <protection locked="0"/>
    </xf>
    <xf numFmtId="0" fontId="103" fillId="5" borderId="162" xfId="0" applyFont="1" applyFill="1" applyBorder="1" applyProtection="1">
      <protection locked="0"/>
    </xf>
    <xf numFmtId="0" fontId="0" fillId="12" borderId="5" xfId="0" applyFill="1" applyBorder="1" applyAlignment="1">
      <alignment wrapText="1"/>
    </xf>
    <xf numFmtId="0" fontId="0" fillId="0" borderId="7" xfId="0" applyBorder="1"/>
    <xf numFmtId="16" fontId="0" fillId="8" borderId="2" xfId="0" applyNumberFormat="1" applyFill="1" applyBorder="1"/>
    <xf numFmtId="0" fontId="0" fillId="8" borderId="2" xfId="0" applyFill="1" applyBorder="1" applyAlignment="1">
      <alignment wrapText="1"/>
    </xf>
    <xf numFmtId="0" fontId="0" fillId="8" borderId="15" xfId="0" applyFill="1" applyBorder="1"/>
    <xf numFmtId="0" fontId="32" fillId="8" borderId="2" xfId="0" applyFont="1" applyFill="1" applyBorder="1"/>
    <xf numFmtId="0" fontId="0" fillId="8" borderId="0" xfId="0" applyFill="1" applyBorder="1"/>
    <xf numFmtId="0" fontId="7" fillId="3" borderId="5" xfId="0" applyFont="1" applyFill="1" applyBorder="1" applyAlignment="1" applyProtection="1">
      <alignment horizontal="right" vertical="center"/>
      <protection hidden="1"/>
    </xf>
    <xf numFmtId="0" fontId="0" fillId="2" borderId="11" xfId="0" applyFill="1" applyBorder="1" applyProtection="1">
      <protection hidden="1"/>
    </xf>
    <xf numFmtId="0" fontId="32" fillId="0" borderId="0" xfId="0" applyFont="1"/>
    <xf numFmtId="0" fontId="32" fillId="25" borderId="12" xfId="0" applyFont="1" applyFill="1" applyBorder="1" applyProtection="1"/>
    <xf numFmtId="0" fontId="42" fillId="0" borderId="0" xfId="0" applyFont="1"/>
    <xf numFmtId="0" fontId="35" fillId="0" borderId="0" xfId="0" applyFont="1" applyAlignment="1">
      <alignment vertical="center"/>
    </xf>
    <xf numFmtId="0" fontId="113" fillId="0" borderId="0" xfId="0" applyFont="1" applyAlignment="1">
      <alignment vertical="center"/>
    </xf>
    <xf numFmtId="0" fontId="0" fillId="8" borderId="0" xfId="0" applyFill="1" applyAlignment="1">
      <alignment vertical="center"/>
    </xf>
    <xf numFmtId="14" fontId="0" fillId="8" borderId="0" xfId="0" applyNumberFormat="1" applyFill="1"/>
    <xf numFmtId="0" fontId="0" fillId="5" borderId="25" xfId="0" applyFont="1" applyFill="1" applyBorder="1" applyAlignment="1" applyProtection="1">
      <alignment horizontal="left"/>
      <protection hidden="1"/>
    </xf>
    <xf numFmtId="0" fontId="0" fillId="5" borderId="31" xfId="0" applyFont="1" applyFill="1" applyBorder="1" applyAlignment="1" applyProtection="1">
      <alignment horizontal="left"/>
      <protection hidden="1"/>
    </xf>
    <xf numFmtId="0" fontId="0" fillId="5" borderId="24" xfId="0" applyFont="1" applyFill="1" applyBorder="1" applyAlignment="1" applyProtection="1">
      <alignment horizontal="left" vertical="center" indent="2"/>
      <protection hidden="1"/>
    </xf>
    <xf numFmtId="0" fontId="0" fillId="2" borderId="2" xfId="0" applyFill="1" applyBorder="1" applyProtection="1">
      <protection locked="0" hidden="1"/>
    </xf>
    <xf numFmtId="0" fontId="1" fillId="18" borderId="2" xfId="0" applyFont="1" applyFill="1" applyBorder="1" applyAlignment="1" applyProtection="1">
      <alignment vertical="center" wrapText="1"/>
      <protection locked="0" hidden="1"/>
    </xf>
    <xf numFmtId="14" fontId="0" fillId="0" borderId="0" xfId="0" applyNumberFormat="1"/>
    <xf numFmtId="0" fontId="0" fillId="0" borderId="0" xfId="0" applyFont="1" applyBorder="1" applyAlignment="1" applyProtection="1">
      <alignment horizontal="left" vertical="top" wrapText="1"/>
    </xf>
    <xf numFmtId="0" fontId="84" fillId="0" borderId="0" xfId="0" applyFont="1" applyBorder="1" applyAlignment="1" applyProtection="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pplyProtection="1">
      <alignment horizontal="center" vertical="top" wrapText="1"/>
    </xf>
    <xf numFmtId="0" fontId="9" fillId="4" borderId="0" xfId="0" applyFont="1" applyFill="1" applyAlignment="1" applyProtection="1">
      <alignment horizontal="center" vertical="top" wrapText="1"/>
    </xf>
    <xf numFmtId="0" fontId="44" fillId="2" borderId="51" xfId="0" applyFont="1" applyFill="1" applyBorder="1" applyAlignment="1" applyProtection="1">
      <alignment horizontal="center" wrapText="1"/>
    </xf>
    <xf numFmtId="0" fontId="44" fillId="2" borderId="1" xfId="0" applyFont="1" applyFill="1" applyBorder="1" applyAlignment="1" applyProtection="1">
      <alignment horizontal="center" wrapText="1"/>
    </xf>
    <xf numFmtId="0" fontId="44" fillId="2" borderId="41" xfId="0" applyFont="1" applyFill="1" applyBorder="1" applyAlignment="1" applyProtection="1">
      <alignment horizontal="center" wrapText="1"/>
    </xf>
    <xf numFmtId="0" fontId="0" fillId="5" borderId="137" xfId="0" applyFont="1" applyFill="1" applyBorder="1" applyAlignment="1" applyProtection="1">
      <alignment horizontal="left" vertical="top" wrapText="1"/>
    </xf>
    <xf numFmtId="0" fontId="0" fillId="5" borderId="135" xfId="0" applyFont="1" applyFill="1" applyBorder="1" applyAlignment="1" applyProtection="1">
      <alignment horizontal="left" vertical="top" wrapText="1"/>
    </xf>
    <xf numFmtId="0" fontId="55" fillId="0" borderId="148" xfId="0" applyFont="1" applyBorder="1" applyAlignment="1" applyProtection="1">
      <alignment horizontal="left" vertical="top"/>
      <protection locked="0"/>
    </xf>
    <xf numFmtId="0" fontId="55" fillId="0" borderId="0" xfId="0" applyFont="1" applyBorder="1" applyAlignment="1" applyProtection="1">
      <alignment horizontal="left" vertical="top"/>
      <protection locked="0"/>
    </xf>
    <xf numFmtId="0" fontId="55" fillId="0" borderId="12" xfId="0" applyFont="1" applyBorder="1" applyAlignment="1" applyProtection="1">
      <alignment horizontal="left" vertical="top"/>
      <protection locked="0"/>
    </xf>
    <xf numFmtId="0" fontId="54" fillId="0" borderId="120" xfId="0" applyFont="1" applyFill="1" applyBorder="1" applyAlignment="1" applyProtection="1">
      <alignment horizontal="left" vertical="top"/>
      <protection locked="0"/>
    </xf>
    <xf numFmtId="0" fontId="54" fillId="0" borderId="121" xfId="0" applyFont="1" applyFill="1" applyBorder="1" applyAlignment="1" applyProtection="1">
      <alignment horizontal="left" vertical="top"/>
      <protection locked="0"/>
    </xf>
    <xf numFmtId="0" fontId="54" fillId="0" borderId="122" xfId="0" applyFont="1" applyFill="1" applyBorder="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20" xfId="0" applyFont="1" applyFill="1" applyBorder="1" applyAlignment="1" applyProtection="1">
      <alignment horizontal="left" vertical="center"/>
      <protection locked="0"/>
    </xf>
    <xf numFmtId="0" fontId="54" fillId="0" borderId="121" xfId="0" applyFont="1" applyFill="1" applyBorder="1" applyAlignment="1" applyProtection="1">
      <alignment horizontal="left" vertical="center"/>
      <protection locked="0"/>
    </xf>
    <xf numFmtId="0" fontId="54" fillId="0" borderId="122" xfId="0" applyFont="1" applyFill="1" applyBorder="1" applyAlignment="1" applyProtection="1">
      <alignment horizontal="left" vertical="center"/>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8" fillId="19" borderId="2" xfId="0" applyFont="1" applyFill="1" applyBorder="1" applyAlignment="1">
      <alignment horizontal="center" vertical="center" wrapText="1"/>
    </xf>
    <xf numFmtId="0" fontId="54" fillId="0" borderId="144" xfId="0" applyFont="1" applyFill="1" applyBorder="1" applyAlignment="1" applyProtection="1">
      <alignment horizontal="left" vertical="top"/>
      <protection locked="0"/>
    </xf>
    <xf numFmtId="0" fontId="54" fillId="0" borderId="145" xfId="0" applyFont="1" applyFill="1" applyBorder="1" applyAlignment="1" applyProtection="1">
      <alignment horizontal="left" vertical="top"/>
      <protection locked="0"/>
    </xf>
    <xf numFmtId="0" fontId="54" fillId="0" borderId="146" xfId="0" applyFont="1" applyFill="1" applyBorder="1" applyAlignment="1" applyProtection="1">
      <alignment horizontal="left" vertical="top"/>
      <protection locked="0"/>
    </xf>
    <xf numFmtId="0" fontId="54" fillId="0" borderId="147"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5" fillId="0" borderId="0" xfId="0" applyFont="1" applyBorder="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51" xfId="0" applyFont="1" applyFill="1" applyBorder="1" applyAlignment="1" applyProtection="1">
      <alignment horizontal="left" vertical="top"/>
      <protection locked="0"/>
    </xf>
    <xf numFmtId="0" fontId="0" fillId="0" borderId="0" xfId="0" applyAlignment="1">
      <alignment horizontal="center"/>
    </xf>
    <xf numFmtId="0" fontId="0" fillId="0" borderId="56" xfId="0" applyBorder="1" applyAlignment="1" applyProtection="1">
      <alignment horizontal="center"/>
    </xf>
    <xf numFmtId="0" fontId="0" fillId="0" borderId="2" xfId="0" applyBorder="1" applyAlignment="1" applyProtection="1">
      <alignment horizontal="center"/>
    </xf>
    <xf numFmtId="0" fontId="0" fillId="0" borderId="57" xfId="0" applyBorder="1" applyAlignment="1" applyProtection="1">
      <alignment horizontal="center"/>
    </xf>
    <xf numFmtId="0" fontId="23" fillId="10" borderId="2" xfId="0" applyFont="1" applyFill="1" applyBorder="1" applyAlignment="1" applyProtection="1">
      <alignment horizontal="center"/>
      <protection hidden="1"/>
    </xf>
    <xf numFmtId="0" fontId="0" fillId="0" borderId="58" xfId="0" applyFont="1" applyBorder="1" applyAlignment="1" applyProtection="1">
      <alignment horizontal="center"/>
    </xf>
    <xf numFmtId="0" fontId="0" fillId="0" borderId="59" xfId="0" applyFont="1" applyBorder="1" applyAlignment="1" applyProtection="1">
      <alignment horizontal="center"/>
    </xf>
    <xf numFmtId="0" fontId="0" fillId="0" borderId="60" xfId="0" applyFont="1" applyBorder="1" applyAlignment="1" applyProtection="1">
      <alignment horizontal="center"/>
    </xf>
    <xf numFmtId="0" fontId="37" fillId="8" borderId="10" xfId="0" applyFont="1" applyFill="1" applyBorder="1" applyAlignment="1" applyProtection="1">
      <alignment horizontal="center" wrapText="1"/>
    </xf>
    <xf numFmtId="0" fontId="37" fillId="8" borderId="3" xfId="0" applyFont="1" applyFill="1" applyBorder="1" applyAlignment="1" applyProtection="1">
      <alignment horizontal="center" wrapText="1"/>
    </xf>
    <xf numFmtId="0" fontId="0" fillId="9" borderId="21" xfId="0" applyFill="1" applyBorder="1" applyAlignment="1" applyProtection="1">
      <alignment horizontal="center" vertical="center"/>
    </xf>
    <xf numFmtId="0" fontId="0" fillId="9" borderId="22" xfId="0" applyFill="1" applyBorder="1" applyAlignment="1" applyProtection="1">
      <alignment horizontal="center" vertical="center"/>
    </xf>
    <xf numFmtId="0" fontId="0" fillId="9" borderId="23" xfId="0" applyFill="1" applyBorder="1" applyAlignment="1" applyProtection="1">
      <alignment horizontal="center" vertical="center"/>
    </xf>
    <xf numFmtId="0" fontId="0" fillId="8" borderId="72" xfId="0" applyFill="1" applyBorder="1" applyAlignment="1" applyProtection="1">
      <alignment horizontal="center"/>
    </xf>
    <xf numFmtId="0" fontId="0" fillId="8" borderId="73" xfId="0" applyFill="1" applyBorder="1" applyAlignment="1" applyProtection="1">
      <alignment horizontal="center"/>
    </xf>
    <xf numFmtId="0" fontId="0" fillId="8" borderId="74" xfId="0" applyFill="1" applyBorder="1" applyAlignment="1" applyProtection="1">
      <alignment horizontal="center"/>
    </xf>
    <xf numFmtId="0" fontId="90" fillId="10" borderId="4" xfId="0" applyFont="1" applyFill="1" applyBorder="1" applyAlignment="1" applyProtection="1">
      <alignment horizontal="center" vertical="center"/>
    </xf>
    <xf numFmtId="0" fontId="90" fillId="10" borderId="6" xfId="0" applyFont="1" applyFill="1" applyBorder="1" applyAlignment="1" applyProtection="1">
      <alignment horizontal="center" vertical="center"/>
    </xf>
    <xf numFmtId="0" fontId="90" fillId="10" borderId="7" xfId="0" applyFont="1" applyFill="1" applyBorder="1" applyAlignment="1" applyProtection="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pplyProtection="1">
      <alignment horizontal="center"/>
    </xf>
    <xf numFmtId="0" fontId="23" fillId="10" borderId="22" xfId="0" applyFont="1" applyFill="1" applyBorder="1" applyAlignment="1" applyProtection="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pplyProtection="1">
      <alignment horizontal="center"/>
    </xf>
    <xf numFmtId="0" fontId="0" fillId="0" borderId="54" xfId="0" applyBorder="1" applyAlignment="1" applyProtection="1">
      <alignment horizontal="center"/>
    </xf>
    <xf numFmtId="0" fontId="0" fillId="0" borderId="55" xfId="0" applyBorder="1" applyAlignment="1" applyProtection="1">
      <alignment horizontal="center"/>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Border="1" applyAlignment="1" applyProtection="1">
      <alignment horizontal="center" wrapText="1"/>
      <protection hidden="1"/>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32" fillId="4" borderId="2"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ont="1" applyFill="1" applyBorder="1" applyAlignment="1" applyProtection="1">
      <alignment wrapText="1"/>
      <protection hidden="1"/>
    </xf>
    <xf numFmtId="0" fontId="0" fillId="4" borderId="2" xfId="0" applyFont="1" applyFill="1" applyBorder="1" applyProtection="1">
      <protection hidden="1"/>
    </xf>
    <xf numFmtId="0" fontId="112"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12" fillId="2" borderId="4" xfId="0" applyFont="1" applyFill="1" applyBorder="1" applyAlignment="1" applyProtection="1">
      <alignment horizontal="left" vertical="center" wrapText="1"/>
      <protection hidden="1"/>
    </xf>
    <xf numFmtId="0" fontId="112" fillId="2" borderId="6" xfId="0" applyFont="1" applyFill="1" applyBorder="1" applyAlignment="1" applyProtection="1">
      <alignment horizontal="left" vertical="center" wrapText="1"/>
      <protection hidden="1"/>
    </xf>
    <xf numFmtId="0" fontId="112" fillId="2" borderId="7" xfId="0" applyFont="1" applyFill="1" applyBorder="1" applyAlignment="1" applyProtection="1">
      <alignment horizontal="left" vertical="center" wrapText="1"/>
      <protection hidden="1"/>
    </xf>
    <xf numFmtId="0" fontId="111" fillId="2" borderId="2" xfId="0" applyFont="1" applyFill="1" applyBorder="1" applyAlignment="1" applyProtection="1">
      <alignment horizontal="left" vertical="center" wrapText="1"/>
      <protection hidden="1"/>
    </xf>
    <xf numFmtId="0" fontId="0" fillId="8" borderId="0" xfId="0" applyFill="1" applyAlignment="1">
      <alignment horizontal="left" vertical="top" wrapText="1"/>
    </xf>
  </cellXfs>
  <cellStyles count="5">
    <cellStyle name="Good 2" xfId="3" xr:uid="{00000000-0005-0000-0000-000000000000}"/>
    <cellStyle name="Normal" xfId="0" builtinId="0"/>
    <cellStyle name="Normal 3" xfId="1" xr:uid="{00000000-0005-0000-0000-000002000000}"/>
    <cellStyle name="Percent" xfId="2" builtinId="5"/>
    <cellStyle name="Percent 2" xfId="4" xr:uid="{A3F32B65-5251-4038-894E-02D69E32DDC8}"/>
  </cellStyles>
  <dxfs count="4060">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dxf>
    <dxf>
      <font>
        <color theme="1"/>
      </font>
    </dxf>
    <dxf>
      <font>
        <color theme="1"/>
      </font>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theme="1"/>
        </lef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top style="thin">
          <color auto="1"/>
        </top>
        <vertical/>
        <horizontal/>
      </border>
    </dxf>
    <dxf>
      <border>
        <top style="thin">
          <color theme="0"/>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theme="0"/>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71718</xdr:colOff>
      <xdr:row>40</xdr:row>
      <xdr:rowOff>56899</xdr:rowOff>
    </xdr:from>
    <xdr:to>
      <xdr:col>2</xdr:col>
      <xdr:colOff>2442173</xdr:colOff>
      <xdr:row>41</xdr:row>
      <xdr:rowOff>186238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336" y="9974105"/>
          <a:ext cx="2374265" cy="53824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35</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572498</xdr:colOff>
      <xdr:row>0</xdr:row>
      <xdr:rowOff>38100</xdr:rowOff>
    </xdr:from>
    <xdr:to>
      <xdr:col>53</xdr:col>
      <xdr:colOff>33685</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271</xdr:row>
      <xdr:rowOff>80902</xdr:rowOff>
    </xdr:from>
    <xdr:to>
      <xdr:col>72</xdr:col>
      <xdr:colOff>119005</xdr:colOff>
      <xdr:row>276</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414303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1376228</xdr:colOff>
      <xdr:row>0</xdr:row>
      <xdr:rowOff>68036</xdr:rowOff>
    </xdr:from>
    <xdr:to>
      <xdr:col>25</xdr:col>
      <xdr:colOff>1278799</xdr:colOff>
      <xdr:row>1</xdr:row>
      <xdr:rowOff>58537</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35258014" y="68036"/>
          <a:ext cx="2828107" cy="602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
  <sheetViews>
    <sheetView showGridLines="0" tabSelected="1" zoomScaleNormal="100" workbookViewId="0">
      <selection activeCell="L14" sqref="L12:L14"/>
    </sheetView>
  </sheetViews>
  <sheetFormatPr defaultColWidth="8.85546875" defaultRowHeight="15" x14ac:dyDescent="0.25"/>
  <cols>
    <col min="1" max="1" width="3.42578125" style="621" customWidth="1"/>
    <col min="2" max="2" width="10.28515625" style="621" customWidth="1"/>
    <col min="3" max="3" width="8.85546875" style="621"/>
    <col min="4" max="4" width="15.7109375" style="621" bestFit="1" customWidth="1"/>
    <col min="5" max="11" width="8.85546875" style="621"/>
    <col min="12" max="12" width="11.42578125" style="621" customWidth="1"/>
    <col min="13" max="17" width="8.85546875" style="621"/>
    <col min="18" max="18" width="7.42578125" style="621" customWidth="1"/>
    <col min="19" max="16384" width="8.85546875" style="621"/>
  </cols>
  <sheetData>
    <row r="1" spans="1:21" x14ac:dyDescent="0.25">
      <c r="A1" s="620"/>
      <c r="B1" s="620"/>
      <c r="C1" s="620"/>
      <c r="D1" s="620"/>
      <c r="E1" s="620"/>
      <c r="F1" s="620"/>
      <c r="G1" s="620"/>
      <c r="H1" s="620"/>
      <c r="I1" s="620"/>
      <c r="J1" s="620"/>
      <c r="K1" s="620"/>
      <c r="L1" s="620"/>
      <c r="M1" s="620"/>
      <c r="N1" s="620"/>
      <c r="O1" s="620"/>
      <c r="P1" s="620"/>
    </row>
    <row r="2" spans="1:21" ht="21" x14ac:dyDescent="0.25">
      <c r="A2" s="620"/>
      <c r="B2" s="725" t="s">
        <v>1127</v>
      </c>
      <c r="C2" s="623"/>
      <c r="D2" s="623"/>
      <c r="E2" s="623"/>
      <c r="F2" s="623"/>
      <c r="G2" s="623"/>
      <c r="H2" s="623"/>
      <c r="I2" s="623"/>
      <c r="J2" s="623"/>
      <c r="K2" s="623"/>
      <c r="L2" s="624"/>
      <c r="M2" s="624"/>
      <c r="N2" s="624"/>
      <c r="O2" s="624"/>
      <c r="P2" s="635" t="str">
        <f>IF('Manuell filtrering og justering'!I2='Manuell filtrering og justering'!J2,"Bespoke","")</f>
        <v/>
      </c>
    </row>
    <row r="3" spans="1:21" ht="21" x14ac:dyDescent="0.25">
      <c r="A3" s="620"/>
      <c r="B3" s="622" t="s">
        <v>5</v>
      </c>
      <c r="C3" s="625" t="str">
        <f>TVC_current_version</f>
        <v>1.1</v>
      </c>
      <c r="D3" s="626">
        <f>TVC_current_date</f>
        <v>45327</v>
      </c>
      <c r="E3" s="623"/>
      <c r="F3" s="623"/>
      <c r="G3" s="623"/>
      <c r="H3" s="623"/>
      <c r="I3" s="623"/>
      <c r="J3" s="623"/>
      <c r="K3" s="623"/>
      <c r="L3" s="624"/>
      <c r="M3" s="624"/>
      <c r="N3" s="624"/>
      <c r="O3" s="624"/>
      <c r="P3" s="624"/>
      <c r="Q3" s="627"/>
      <c r="R3" s="627"/>
    </row>
    <row r="4" spans="1:21" ht="4.5" customHeight="1" x14ac:dyDescent="0.25">
      <c r="A4" s="628"/>
      <c r="B4" s="629"/>
      <c r="C4" s="628"/>
      <c r="D4" s="628"/>
      <c r="E4" s="628"/>
      <c r="F4" s="628"/>
      <c r="G4" s="628"/>
      <c r="H4" s="628"/>
      <c r="I4" s="628"/>
      <c r="J4" s="628"/>
      <c r="K4" s="628"/>
      <c r="L4" s="628"/>
      <c r="M4" s="628"/>
      <c r="N4" s="628"/>
      <c r="O4" s="628"/>
      <c r="P4" s="628"/>
      <c r="Q4" s="627"/>
      <c r="R4" s="627"/>
      <c r="S4" s="627"/>
      <c r="T4" s="627"/>
      <c r="U4" s="627"/>
    </row>
    <row r="5" spans="1:21" ht="126.75" customHeight="1" x14ac:dyDescent="0.25">
      <c r="A5" s="628"/>
      <c r="B5" s="1300" t="s">
        <v>1128</v>
      </c>
      <c r="C5" s="1301"/>
      <c r="D5" s="1301"/>
      <c r="E5" s="1301"/>
      <c r="F5" s="1301"/>
      <c r="G5" s="1301"/>
      <c r="H5" s="1301"/>
      <c r="I5" s="1301"/>
      <c r="J5" s="1301"/>
      <c r="K5" s="1301"/>
      <c r="L5" s="1301"/>
      <c r="M5" s="1301"/>
      <c r="N5" s="1301"/>
      <c r="O5" s="1301"/>
      <c r="P5" s="1301"/>
      <c r="Q5" s="627"/>
      <c r="R5" s="627"/>
      <c r="S5" s="627"/>
      <c r="T5" s="627"/>
      <c r="U5" s="627"/>
    </row>
    <row r="6" spans="1:21" ht="85.5" customHeight="1" x14ac:dyDescent="0.25">
      <c r="A6" s="628"/>
      <c r="B6" s="1300" t="s">
        <v>1135</v>
      </c>
      <c r="C6" s="1301"/>
      <c r="D6" s="1301"/>
      <c r="E6" s="1301"/>
      <c r="F6" s="1301"/>
      <c r="G6" s="1301"/>
      <c r="H6" s="1301"/>
      <c r="I6" s="1301"/>
      <c r="J6" s="1301"/>
      <c r="K6" s="1301"/>
      <c r="L6" s="1301"/>
      <c r="M6" s="1301"/>
      <c r="N6" s="1301"/>
      <c r="O6" s="1301"/>
      <c r="P6" s="1301"/>
      <c r="Q6" s="627"/>
      <c r="R6" s="627"/>
      <c r="S6" s="627"/>
      <c r="T6" s="627"/>
      <c r="U6" s="627"/>
    </row>
    <row r="7" spans="1:21" ht="80.25" customHeight="1" x14ac:dyDescent="0.25">
      <c r="A7" s="628"/>
      <c r="B7" s="1300" t="s">
        <v>1129</v>
      </c>
      <c r="C7" s="1301"/>
      <c r="D7" s="1301"/>
      <c r="E7" s="1301"/>
      <c r="F7" s="1301"/>
      <c r="G7" s="1301"/>
      <c r="H7" s="1301"/>
      <c r="I7" s="1301"/>
      <c r="J7" s="1301"/>
      <c r="K7" s="1301"/>
      <c r="L7" s="1301"/>
      <c r="M7" s="1301"/>
      <c r="N7" s="1301"/>
      <c r="O7" s="1301"/>
      <c r="P7" s="1301"/>
      <c r="Q7" s="627"/>
      <c r="R7" s="627"/>
      <c r="S7" s="627"/>
      <c r="T7" s="627"/>
      <c r="U7" s="627"/>
    </row>
    <row r="8" spans="1:21" ht="2.25" customHeight="1" x14ac:dyDescent="0.25">
      <c r="A8" s="628"/>
      <c r="B8" s="628"/>
      <c r="C8" s="628"/>
      <c r="D8" s="628"/>
      <c r="E8" s="628"/>
      <c r="F8" s="628"/>
      <c r="G8" s="628"/>
      <c r="H8" s="628"/>
      <c r="I8" s="628"/>
      <c r="J8" s="628"/>
      <c r="K8" s="628"/>
      <c r="L8" s="628"/>
      <c r="M8" s="628"/>
      <c r="N8" s="628"/>
      <c r="O8" s="628"/>
      <c r="P8" s="629"/>
      <c r="Q8" s="627"/>
      <c r="R8" s="627"/>
      <c r="S8" s="627"/>
      <c r="T8" s="627"/>
      <c r="U8" s="627"/>
    </row>
    <row r="9" spans="1:21" x14ac:dyDescent="0.25">
      <c r="A9" s="628"/>
      <c r="B9" s="631" t="s">
        <v>1013</v>
      </c>
      <c r="C9" s="628"/>
      <c r="D9" s="628"/>
      <c r="E9" s="628"/>
      <c r="F9" s="628"/>
      <c r="G9" s="628"/>
      <c r="H9" s="628"/>
      <c r="I9" s="628"/>
      <c r="J9" s="628"/>
      <c r="K9" s="628"/>
      <c r="L9" s="628"/>
      <c r="M9" s="628"/>
      <c r="N9" s="628"/>
      <c r="O9" s="628"/>
      <c r="P9" s="628"/>
      <c r="Q9" s="627"/>
      <c r="R9" s="627"/>
      <c r="S9" s="627"/>
      <c r="T9" s="627"/>
      <c r="U9" s="627"/>
    </row>
    <row r="10" spans="1:21" ht="9" customHeight="1" x14ac:dyDescent="0.25">
      <c r="A10" s="628"/>
      <c r="B10" s="628"/>
      <c r="C10" s="628"/>
      <c r="D10" s="628"/>
      <c r="E10" s="628"/>
      <c r="F10" s="628"/>
      <c r="G10" s="628"/>
      <c r="H10" s="628"/>
      <c r="I10" s="628"/>
      <c r="J10" s="628"/>
      <c r="K10" s="628"/>
      <c r="L10" s="628"/>
      <c r="M10" s="628"/>
      <c r="N10" s="628"/>
      <c r="O10" s="628"/>
      <c r="P10" s="628"/>
      <c r="Q10" s="627"/>
      <c r="R10" s="627"/>
      <c r="S10" s="627"/>
      <c r="T10" s="627"/>
      <c r="U10" s="627"/>
    </row>
    <row r="11" spans="1:21" x14ac:dyDescent="0.25">
      <c r="A11" s="628"/>
      <c r="B11" s="628"/>
      <c r="C11" s="628"/>
      <c r="D11" s="628"/>
      <c r="E11" s="628"/>
      <c r="F11" s="628"/>
      <c r="G11" s="628"/>
      <c r="H11" s="628"/>
      <c r="I11" s="628"/>
      <c r="J11" s="628"/>
      <c r="K11" s="628"/>
      <c r="L11" s="628"/>
      <c r="M11" s="628"/>
      <c r="N11" s="628"/>
      <c r="O11" s="628"/>
      <c r="P11" s="628"/>
      <c r="Q11" s="627"/>
      <c r="R11" s="627"/>
      <c r="S11" s="627"/>
      <c r="T11" s="627"/>
      <c r="U11" s="627"/>
    </row>
    <row r="12" spans="1:21" x14ac:dyDescent="0.25">
      <c r="A12" s="628"/>
      <c r="B12" s="628"/>
      <c r="C12" s="628"/>
      <c r="D12" s="628"/>
      <c r="E12" s="628"/>
      <c r="F12" s="628"/>
      <c r="G12" s="628"/>
      <c r="H12" s="628"/>
      <c r="I12" s="628"/>
      <c r="J12" s="628"/>
      <c r="K12" s="628"/>
      <c r="L12" s="628"/>
      <c r="M12" s="628"/>
      <c r="N12" s="628"/>
      <c r="O12" s="628"/>
      <c r="P12" s="628"/>
      <c r="Q12" s="627"/>
      <c r="R12" s="627"/>
      <c r="S12" s="627"/>
      <c r="T12" s="627"/>
      <c r="U12" s="627"/>
    </row>
    <row r="13" spans="1:21" x14ac:dyDescent="0.25">
      <c r="A13" s="628"/>
      <c r="B13" s="628"/>
      <c r="C13" s="628"/>
      <c r="D13" s="628"/>
      <c r="E13" s="628"/>
      <c r="F13" s="628"/>
      <c r="G13" s="628"/>
      <c r="H13" s="628"/>
      <c r="I13" s="628"/>
      <c r="J13" s="628"/>
      <c r="K13" s="628"/>
      <c r="L13" s="628"/>
      <c r="M13" s="628"/>
      <c r="N13" s="628"/>
      <c r="O13" s="628"/>
      <c r="P13" s="628"/>
      <c r="Q13" s="627"/>
      <c r="R13" s="627"/>
      <c r="S13" s="627"/>
      <c r="T13" s="627"/>
      <c r="U13" s="627"/>
    </row>
    <row r="14" spans="1:21" x14ac:dyDescent="0.25">
      <c r="A14" s="628"/>
      <c r="B14" s="628"/>
      <c r="C14" s="628"/>
      <c r="D14" s="628"/>
      <c r="E14" s="628"/>
      <c r="F14" s="628"/>
      <c r="G14" s="628"/>
      <c r="H14" s="628"/>
      <c r="I14" s="628"/>
      <c r="J14" s="628"/>
      <c r="K14" s="628"/>
      <c r="L14" s="628"/>
      <c r="M14" s="628"/>
      <c r="N14" s="628"/>
      <c r="O14" s="628"/>
      <c r="P14" s="628"/>
      <c r="Q14" s="627"/>
      <c r="R14" s="627"/>
      <c r="S14" s="627"/>
      <c r="T14" s="627"/>
      <c r="U14" s="627"/>
    </row>
    <row r="15" spans="1:21" x14ac:dyDescent="0.25">
      <c r="A15" s="628"/>
      <c r="B15" s="628"/>
      <c r="C15" s="628"/>
      <c r="D15" s="628"/>
      <c r="E15" s="628"/>
      <c r="F15" s="628"/>
      <c r="G15" s="628"/>
      <c r="H15" s="628"/>
      <c r="I15" s="628"/>
      <c r="J15" s="628"/>
      <c r="K15" s="628"/>
      <c r="L15" s="628"/>
      <c r="M15" s="628"/>
      <c r="N15" s="628"/>
      <c r="O15" s="628"/>
      <c r="P15" s="628"/>
      <c r="Q15" s="627"/>
      <c r="R15" s="627"/>
      <c r="S15" s="627"/>
      <c r="T15" s="627"/>
      <c r="U15" s="627"/>
    </row>
    <row r="16" spans="1:21" x14ac:dyDescent="0.25">
      <c r="A16" s="628"/>
      <c r="B16" s="628"/>
      <c r="C16" s="628"/>
      <c r="D16" s="628"/>
      <c r="E16" s="628"/>
      <c r="F16" s="628"/>
      <c r="G16" s="628"/>
      <c r="H16" s="628"/>
      <c r="I16" s="628"/>
      <c r="J16" s="628"/>
      <c r="K16" s="628"/>
      <c r="L16" s="628"/>
      <c r="M16" s="628"/>
      <c r="N16" s="628"/>
      <c r="O16" s="628"/>
      <c r="P16" s="628"/>
      <c r="Q16" s="627"/>
      <c r="R16" s="627"/>
      <c r="S16" s="627"/>
      <c r="T16" s="627"/>
      <c r="U16" s="627"/>
    </row>
    <row r="17" spans="1:21" x14ac:dyDescent="0.25">
      <c r="A17" s="628"/>
      <c r="B17" s="628"/>
      <c r="C17" s="628"/>
      <c r="D17" s="628"/>
      <c r="E17" s="628"/>
      <c r="F17" s="628"/>
      <c r="G17" s="628"/>
      <c r="H17" s="628"/>
      <c r="I17" s="630"/>
      <c r="J17" s="628"/>
      <c r="K17" s="628"/>
      <c r="L17" s="628"/>
      <c r="M17" s="628"/>
      <c r="N17" s="628"/>
      <c r="O17" s="628"/>
      <c r="P17" s="628"/>
      <c r="Q17" s="627"/>
      <c r="R17" s="627"/>
      <c r="S17" s="627"/>
      <c r="T17" s="627"/>
      <c r="U17" s="627"/>
    </row>
    <row r="18" spans="1:21" x14ac:dyDescent="0.25">
      <c r="A18" s="627"/>
      <c r="B18" s="627"/>
      <c r="C18" s="627"/>
      <c r="D18" s="627"/>
      <c r="E18" s="627"/>
      <c r="F18" s="627"/>
      <c r="G18" s="627"/>
      <c r="H18" s="627"/>
      <c r="I18" s="627"/>
      <c r="J18" s="627"/>
      <c r="K18" s="627"/>
      <c r="L18" s="627"/>
      <c r="M18" s="627"/>
      <c r="N18" s="627"/>
      <c r="O18" s="627"/>
      <c r="P18" s="627"/>
      <c r="Q18" s="627"/>
      <c r="R18" s="627"/>
      <c r="S18" s="627"/>
      <c r="T18" s="627"/>
      <c r="U18" s="627"/>
    </row>
  </sheetData>
  <sheetProtection algorithmName="SHA-512" hashValue="4zhsUd6rtNIHQEkCv2w2XHJI2NiNJP/a5GeVk4c1e1DzZgeo+m9SlpTJzy6V4wIpW39KuHeUIlk51O/LqHAxtg==" saltValue="F43/YCApX2vuwnS/uPqTrA=="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I186"/>
  <sheetViews>
    <sheetView showGridLines="0" zoomScaleNormal="100" zoomScalePageLayoutView="90" workbookViewId="0">
      <pane ySplit="3" topLeftCell="A4" activePane="bottomLeft" state="frozen"/>
      <selection activeCell="H9" sqref="H9:I9"/>
      <selection pane="bottomLeft" activeCell="AK9" sqref="AK9"/>
    </sheetView>
  </sheetViews>
  <sheetFormatPr defaultColWidth="9.140625" defaultRowHeight="15" x14ac:dyDescent="0.25"/>
  <cols>
    <col min="1" max="1" width="2.7109375" style="512" customWidth="1"/>
    <col min="2" max="2" width="37.85546875" style="512" customWidth="1"/>
    <col min="3" max="3" width="59.85546875" style="512" customWidth="1"/>
    <col min="4" max="4" width="5.5703125" style="512" customWidth="1"/>
    <col min="5" max="5" width="102.140625" style="512" customWidth="1"/>
    <col min="6" max="6" width="56.5703125" style="512" customWidth="1"/>
    <col min="7" max="7" width="7.28515625" style="512" hidden="1" customWidth="1"/>
    <col min="8" max="8" width="11.42578125" style="512" hidden="1" customWidth="1"/>
    <col min="9" max="9" width="12.140625" style="512" hidden="1" customWidth="1"/>
    <col min="10" max="11" width="17" style="512" hidden="1" customWidth="1"/>
    <col min="12" max="12" width="42.140625" style="512" hidden="1" customWidth="1"/>
    <col min="13" max="13" width="30.85546875" style="512" hidden="1" customWidth="1"/>
    <col min="14" max="14" width="16.5703125" style="512" hidden="1" customWidth="1"/>
    <col min="15" max="15" width="34.5703125" style="512" hidden="1" customWidth="1"/>
    <col min="16" max="16" width="6.140625" style="512" hidden="1" customWidth="1"/>
    <col min="17" max="17" width="74.7109375" style="512" hidden="1" customWidth="1"/>
    <col min="18" max="18" width="30.28515625" style="512" hidden="1" customWidth="1"/>
    <col min="19" max="19" width="41.140625" style="512" hidden="1" customWidth="1"/>
    <col min="20" max="20" width="32" style="512" hidden="1" customWidth="1"/>
    <col min="21" max="25" width="31.140625" style="512" hidden="1" customWidth="1"/>
    <col min="26" max="26" width="60.7109375" style="512" hidden="1" customWidth="1"/>
    <col min="27" max="30" width="31.140625" style="512" hidden="1" customWidth="1"/>
    <col min="31" max="31" width="11.42578125" style="512" hidden="1" customWidth="1"/>
    <col min="32" max="35" width="9.140625" style="512" hidden="1" customWidth="1"/>
    <col min="36" max="120" width="9.140625" style="512" customWidth="1"/>
    <col min="121" max="16384" width="9.140625" style="512"/>
  </cols>
  <sheetData>
    <row r="1" spans="2:32" s="1" customFormat="1" x14ac:dyDescent="0.25">
      <c r="B1" s="418"/>
      <c r="C1" s="418"/>
      <c r="E1" s="2"/>
      <c r="G1" s="512"/>
      <c r="H1" s="512"/>
      <c r="I1" s="512"/>
      <c r="O1" s="17"/>
      <c r="P1" s="17"/>
      <c r="Q1" s="17"/>
      <c r="R1" s="17"/>
      <c r="S1" s="17"/>
      <c r="T1" s="17"/>
      <c r="U1" s="17"/>
      <c r="V1" s="17"/>
      <c r="W1" s="17"/>
      <c r="X1" s="17"/>
      <c r="Y1" s="17"/>
      <c r="Z1" s="17"/>
      <c r="AA1" s="17"/>
      <c r="AB1" s="17"/>
      <c r="AC1" s="17"/>
      <c r="AD1" s="17"/>
    </row>
    <row r="2" spans="2:32" s="1" customFormat="1" ht="42" customHeight="1" x14ac:dyDescent="0.25">
      <c r="B2" s="513" t="s">
        <v>1130</v>
      </c>
      <c r="C2" s="514"/>
      <c r="D2" s="514"/>
      <c r="E2" s="514"/>
      <c r="F2" s="636" t="str">
        <f>IF('Manuell filtrering og justering'!I2='Manuell filtrering og justering'!J2,"Bespoke","")</f>
        <v/>
      </c>
      <c r="G2" s="512"/>
      <c r="H2" s="512"/>
      <c r="I2" s="512"/>
      <c r="O2" s="17"/>
      <c r="P2" s="17"/>
      <c r="Q2" s="17"/>
      <c r="R2" s="17"/>
      <c r="S2" s="17"/>
      <c r="T2" s="17"/>
      <c r="U2" s="17"/>
      <c r="V2" s="17"/>
      <c r="W2" s="17"/>
      <c r="X2" s="17"/>
      <c r="Y2" s="17"/>
      <c r="Z2" s="17"/>
      <c r="AA2" s="17"/>
      <c r="AB2" s="17"/>
      <c r="AC2" s="17"/>
      <c r="AD2" s="17"/>
    </row>
    <row r="3" spans="2:32" s="1" customFormat="1" x14ac:dyDescent="0.25">
      <c r="B3" s="515"/>
      <c r="C3" s="515"/>
      <c r="E3" s="2"/>
      <c r="F3" s="516"/>
      <c r="G3" s="512"/>
      <c r="H3" s="512"/>
      <c r="I3" s="512"/>
      <c r="O3" s="17"/>
      <c r="P3" s="17"/>
      <c r="Q3" s="17"/>
      <c r="R3" s="93"/>
      <c r="S3" s="93"/>
      <c r="T3" s="93"/>
      <c r="U3" s="93"/>
      <c r="V3" s="93"/>
      <c r="W3" s="93"/>
      <c r="X3" s="93"/>
      <c r="Y3" s="93"/>
      <c r="Z3" s="93"/>
      <c r="AA3" s="93"/>
      <c r="AB3" s="93"/>
      <c r="AC3" s="93"/>
      <c r="AD3" s="93"/>
      <c r="AE3" s="93"/>
    </row>
    <row r="4" spans="2:32" s="1" customFormat="1" ht="18.75" x14ac:dyDescent="0.3">
      <c r="B4" s="517" t="s">
        <v>47</v>
      </c>
      <c r="C4" s="7"/>
      <c r="E4" s="517" t="s">
        <v>20</v>
      </c>
      <c r="F4" s="517"/>
      <c r="G4" s="512"/>
      <c r="H4" s="512"/>
      <c r="I4" s="512"/>
      <c r="L4" s="12"/>
      <c r="M4" s="12"/>
      <c r="N4" s="12"/>
      <c r="O4" s="17"/>
      <c r="P4" s="17"/>
      <c r="Q4" s="17"/>
      <c r="R4" s="17"/>
      <c r="S4" s="17"/>
      <c r="T4" s="17"/>
      <c r="U4" s="17"/>
      <c r="V4" s="17"/>
      <c r="W4" s="17"/>
      <c r="X4" s="17"/>
      <c r="Y4" s="17"/>
      <c r="Z4" s="17"/>
      <c r="AA4" s="17"/>
      <c r="AB4" s="17"/>
      <c r="AC4" s="17"/>
      <c r="AD4" s="17"/>
    </row>
    <row r="5" spans="2:32" s="1" customFormat="1" ht="15.75" x14ac:dyDescent="0.25">
      <c r="B5" s="518" t="s">
        <v>16</v>
      </c>
      <c r="C5" s="608"/>
      <c r="D5" s="512"/>
      <c r="E5" s="520" t="s">
        <v>52</v>
      </c>
      <c r="F5" s="519" t="s">
        <v>30</v>
      </c>
      <c r="G5" s="512"/>
      <c r="H5" s="512"/>
      <c r="I5" s="512"/>
      <c r="J5" s="512"/>
      <c r="K5" s="512"/>
      <c r="L5" s="91" t="str">
        <f>IF('Manuell filtrering og justering'!I2='Manuell filtrering og justering'!J2,'Manuell filtrering og justering'!H2,M6)</f>
        <v>Industrial</v>
      </c>
      <c r="M5" s="367" t="s">
        <v>30</v>
      </c>
      <c r="N5" s="12"/>
      <c r="O5" s="91" t="str">
        <f t="shared" ref="O5:O13" si="0">IF(HLOOKUP(ADBT0,$R$5:$AE$14,AF6,FALSE)=0,"",HLOOKUP(ADBT0,$R$5:$AE$14,AF6,FALSE))</f>
        <v>General office buildings</v>
      </c>
      <c r="P5" s="17"/>
      <c r="Q5" s="91" t="s">
        <v>42</v>
      </c>
      <c r="R5" s="89" t="s">
        <v>31</v>
      </c>
      <c r="S5" s="89" t="s">
        <v>30</v>
      </c>
      <c r="T5" s="89" t="s">
        <v>32</v>
      </c>
      <c r="U5" s="89" t="s">
        <v>33</v>
      </c>
      <c r="V5" s="89" t="s">
        <v>9</v>
      </c>
      <c r="W5" s="89" t="s">
        <v>483</v>
      </c>
      <c r="X5" s="89" t="s">
        <v>484</v>
      </c>
      <c r="Y5" s="89" t="s">
        <v>485</v>
      </c>
      <c r="Z5" s="89" t="s">
        <v>486</v>
      </c>
      <c r="AA5" s="89" t="s">
        <v>487</v>
      </c>
      <c r="AB5" s="89" t="s">
        <v>488</v>
      </c>
      <c r="AC5" s="89" t="s">
        <v>489</v>
      </c>
      <c r="AD5" s="1195" t="s">
        <v>1001</v>
      </c>
      <c r="AE5" s="89" t="s">
        <v>335</v>
      </c>
      <c r="AF5" s="1">
        <v>1</v>
      </c>
    </row>
    <row r="6" spans="2:32" s="1" customFormat="1" ht="15.75" x14ac:dyDescent="0.25">
      <c r="B6" s="521" t="s">
        <v>17</v>
      </c>
      <c r="C6" s="608"/>
      <c r="D6" s="512"/>
      <c r="E6" s="522" t="s">
        <v>23</v>
      </c>
      <c r="F6" s="523" t="s">
        <v>490</v>
      </c>
      <c r="G6" s="512"/>
      <c r="H6" s="512"/>
      <c r="I6" s="512"/>
      <c r="J6" s="512"/>
      <c r="K6" s="512"/>
      <c r="L6" s="91" t="str">
        <f>IF('Manuell filtrering og justering'!I2='Manuell filtrering og justering'!J2,"",M5)</f>
        <v>Office</v>
      </c>
      <c r="M6" s="367" t="s">
        <v>31</v>
      </c>
      <c r="N6" s="12"/>
      <c r="O6" s="91" t="str">
        <f t="shared" si="0"/>
        <v>Offices with research and development areas (i.e. category 1 labs only)</v>
      </c>
      <c r="P6" s="17"/>
      <c r="Q6" s="17"/>
      <c r="R6" s="17" t="s">
        <v>492</v>
      </c>
      <c r="S6" s="17" t="s">
        <v>490</v>
      </c>
      <c r="T6" s="17" t="s">
        <v>494</v>
      </c>
      <c r="U6" s="1" t="s">
        <v>498</v>
      </c>
      <c r="V6" s="1" t="s">
        <v>325</v>
      </c>
      <c r="W6" s="1" t="s">
        <v>502</v>
      </c>
      <c r="X6" s="1" t="s">
        <v>507</v>
      </c>
      <c r="Y6" s="1" t="s">
        <v>512</v>
      </c>
      <c r="Z6" s="1" t="s">
        <v>520</v>
      </c>
      <c r="AA6" s="1" t="s">
        <v>526</v>
      </c>
      <c r="AB6" s="1" t="s">
        <v>529</v>
      </c>
      <c r="AC6" s="1" t="s">
        <v>533</v>
      </c>
      <c r="AD6" s="1" t="s">
        <v>1002</v>
      </c>
      <c r="AE6" s="17" t="s">
        <v>335</v>
      </c>
      <c r="AF6" s="1">
        <v>2</v>
      </c>
    </row>
    <row r="7" spans="2:32" s="1" customFormat="1" ht="15.75" x14ac:dyDescent="0.25">
      <c r="B7" s="521" t="s">
        <v>18</v>
      </c>
      <c r="C7" s="608"/>
      <c r="D7" s="512"/>
      <c r="E7" s="525" t="s">
        <v>24</v>
      </c>
      <c r="F7" s="1297" t="s">
        <v>35</v>
      </c>
      <c r="G7" s="512"/>
      <c r="H7" s="512"/>
      <c r="I7" s="512"/>
      <c r="J7" s="512"/>
      <c r="K7" s="512"/>
      <c r="L7" s="91" t="str">
        <f>IF('Manuell filtrering og justering'!I2='Manuell filtrering og justering'!J2,"",M7)</f>
        <v>Retail</v>
      </c>
      <c r="M7" s="367" t="s">
        <v>32</v>
      </c>
      <c r="N7" s="12"/>
      <c r="O7" s="91" t="str">
        <f t="shared" si="0"/>
        <v/>
      </c>
      <c r="P7" s="17"/>
      <c r="Q7" s="17"/>
      <c r="R7" s="17" t="s">
        <v>493</v>
      </c>
      <c r="S7" s="1" t="s">
        <v>491</v>
      </c>
      <c r="T7" s="17" t="s">
        <v>495</v>
      </c>
      <c r="U7" s="1" t="s">
        <v>499</v>
      </c>
      <c r="V7" s="1" t="s">
        <v>326</v>
      </c>
      <c r="W7" s="1" t="s">
        <v>503</v>
      </c>
      <c r="X7" s="1" t="s">
        <v>508</v>
      </c>
      <c r="Y7" s="1" t="s">
        <v>513</v>
      </c>
      <c r="Z7" s="1" t="s">
        <v>521</v>
      </c>
      <c r="AA7" s="1" t="s">
        <v>527</v>
      </c>
      <c r="AB7" s="1" t="s">
        <v>530</v>
      </c>
      <c r="AC7" s="1" t="s">
        <v>534</v>
      </c>
      <c r="AD7" s="1" t="s">
        <v>1003</v>
      </c>
      <c r="AF7" s="1">
        <v>3</v>
      </c>
    </row>
    <row r="8" spans="2:32" s="1" customFormat="1" ht="15.75" x14ac:dyDescent="0.25">
      <c r="B8" s="521" t="s">
        <v>19</v>
      </c>
      <c r="C8" s="608"/>
      <c r="D8" s="512"/>
      <c r="G8" s="512"/>
      <c r="H8" s="512"/>
      <c r="I8" s="512"/>
      <c r="J8" s="512"/>
      <c r="K8" s="512"/>
      <c r="L8" s="91" t="str">
        <f>IF('Manuell filtrering og justering'!I2='Manuell filtrering og justering'!J2,"",M8)</f>
        <v>Education</v>
      </c>
      <c r="M8" s="367" t="s">
        <v>33</v>
      </c>
      <c r="N8" s="12"/>
      <c r="O8" s="91" t="str">
        <f t="shared" si="0"/>
        <v/>
      </c>
      <c r="P8" s="17"/>
      <c r="Q8" s="24" t="s">
        <v>539</v>
      </c>
      <c r="T8" s="17" t="s">
        <v>496</v>
      </c>
      <c r="U8" s="1" t="s">
        <v>500</v>
      </c>
      <c r="V8" s="1" t="s">
        <v>324</v>
      </c>
      <c r="W8" s="1" t="s">
        <v>504</v>
      </c>
      <c r="X8" s="1" t="s">
        <v>509</v>
      </c>
      <c r="Y8" s="1" t="s">
        <v>514</v>
      </c>
      <c r="Z8" s="1" t="s">
        <v>522</v>
      </c>
      <c r="AA8" s="1" t="s">
        <v>528</v>
      </c>
      <c r="AB8" s="1" t="s">
        <v>531</v>
      </c>
      <c r="AC8" s="1" t="s">
        <v>535</v>
      </c>
      <c r="AD8" s="1" t="s">
        <v>1004</v>
      </c>
      <c r="AE8" s="17"/>
      <c r="AF8" s="1">
        <v>4</v>
      </c>
    </row>
    <row r="9" spans="2:32" s="1" customFormat="1" ht="15.75" x14ac:dyDescent="0.25">
      <c r="B9" s="521" t="s">
        <v>41</v>
      </c>
      <c r="C9" s="608"/>
      <c r="D9" s="512"/>
      <c r="G9" s="512"/>
      <c r="H9" s="512"/>
      <c r="I9" s="512"/>
      <c r="J9" s="512"/>
      <c r="K9" s="512"/>
      <c r="L9" s="91" t="str">
        <f>IF('Manuell filtrering og justering'!I2='Manuell filtrering og justering'!J2,"",M16)</f>
        <v>Residential</v>
      </c>
      <c r="M9" s="367" t="s">
        <v>483</v>
      </c>
      <c r="N9" s="12"/>
      <c r="O9" s="91" t="str">
        <f t="shared" si="0"/>
        <v/>
      </c>
      <c r="P9" s="17"/>
      <c r="Q9" s="17"/>
      <c r="T9" s="1" t="s">
        <v>323</v>
      </c>
      <c r="U9" s="1" t="s">
        <v>537</v>
      </c>
      <c r="W9" s="1" t="s">
        <v>505</v>
      </c>
      <c r="X9" s="1" t="s">
        <v>510</v>
      </c>
      <c r="Y9" s="1" t="s">
        <v>515</v>
      </c>
      <c r="Z9" s="1" t="s">
        <v>523</v>
      </c>
      <c r="AB9" s="1" t="s">
        <v>532</v>
      </c>
      <c r="AC9" s="1" t="s">
        <v>536</v>
      </c>
      <c r="AD9" s="1" t="s">
        <v>1005</v>
      </c>
      <c r="AF9" s="1">
        <v>5</v>
      </c>
    </row>
    <row r="10" spans="2:32" s="1" customFormat="1" ht="15.75" x14ac:dyDescent="0.25">
      <c r="B10" s="525" t="s">
        <v>197</v>
      </c>
      <c r="C10" s="608"/>
      <c r="D10" s="512"/>
      <c r="F10" s="261"/>
      <c r="G10" s="512"/>
      <c r="H10" s="512"/>
      <c r="I10" s="512"/>
      <c r="J10" s="512"/>
      <c r="K10" s="512"/>
      <c r="L10" s="91" t="str">
        <f>IF('Manuell filtrering og justering'!$I$2='Manuell filtrering og justering'!$J$2,"",M9)</f>
        <v>Healthcare</v>
      </c>
      <c r="M10" s="367" t="s">
        <v>484</v>
      </c>
      <c r="N10" s="12"/>
      <c r="O10" s="91" t="str">
        <f t="shared" si="0"/>
        <v/>
      </c>
      <c r="P10" s="17"/>
      <c r="Q10" s="17"/>
      <c r="T10" s="1" t="s">
        <v>497</v>
      </c>
      <c r="U10" s="1" t="s">
        <v>501</v>
      </c>
      <c r="W10" s="1" t="s">
        <v>506</v>
      </c>
      <c r="X10" s="1" t="s">
        <v>511</v>
      </c>
      <c r="Y10" s="1" t="s">
        <v>516</v>
      </c>
      <c r="Z10" s="1" t="s">
        <v>524</v>
      </c>
      <c r="AD10" s="1" t="s">
        <v>1006</v>
      </c>
      <c r="AF10" s="1">
        <v>6</v>
      </c>
    </row>
    <row r="11" spans="2:32" s="1" customFormat="1" ht="15.75" customHeight="1" x14ac:dyDescent="0.25">
      <c r="C11" s="97"/>
      <c r="E11" s="527" t="s">
        <v>304</v>
      </c>
      <c r="F11" s="610"/>
      <c r="G11" s="512"/>
      <c r="H11" s="512"/>
      <c r="I11" s="512"/>
      <c r="J11" s="512"/>
      <c r="K11" s="512"/>
      <c r="L11" s="91" t="str">
        <f>IF('Manuell filtrering og justering'!$I$2='Manuell filtrering og justering'!$J$2,"",M10)</f>
        <v>Prison</v>
      </c>
      <c r="M11" s="367" t="s">
        <v>485</v>
      </c>
      <c r="N11" s="12"/>
      <c r="O11" s="91" t="str">
        <f t="shared" si="0"/>
        <v/>
      </c>
      <c r="P11" s="17"/>
      <c r="Q11" s="91" t="s">
        <v>35</v>
      </c>
      <c r="T11" s="17" t="s">
        <v>327</v>
      </c>
      <c r="Y11" s="1" t="s">
        <v>517</v>
      </c>
      <c r="Z11" s="1" t="s">
        <v>525</v>
      </c>
      <c r="AF11" s="1">
        <v>7</v>
      </c>
    </row>
    <row r="12" spans="2:32" s="1" customFormat="1" ht="15" customHeight="1" x14ac:dyDescent="0.3">
      <c r="B12" s="517" t="s">
        <v>20</v>
      </c>
      <c r="C12" s="609"/>
      <c r="E12" s="521" t="s">
        <v>303</v>
      </c>
      <c r="F12" s="610"/>
      <c r="G12" s="512"/>
      <c r="H12" s="512"/>
      <c r="I12" s="512"/>
      <c r="J12" s="512"/>
      <c r="K12" s="512"/>
      <c r="L12" s="91" t="str">
        <f>IF('Manuell filtrering og justering'!$I$2='Manuell filtrering og justering'!$J$2,"",M11)</f>
        <v>Law Court</v>
      </c>
      <c r="M12" s="367" t="s">
        <v>486</v>
      </c>
      <c r="N12" s="12"/>
      <c r="O12" s="91" t="str">
        <f t="shared" si="0"/>
        <v/>
      </c>
      <c r="P12" s="17"/>
      <c r="Q12" s="91" t="str">
        <f>IF(ADBT0=ADBT12,"","New Construction (shell and core)")</f>
        <v>New Construction (shell and core)</v>
      </c>
      <c r="T12" s="17"/>
      <c r="U12" s="17"/>
      <c r="V12" s="17"/>
      <c r="W12" s="17"/>
      <c r="X12" s="17"/>
      <c r="Y12" s="17" t="s">
        <v>518</v>
      </c>
      <c r="Z12" s="17"/>
      <c r="AA12" s="17"/>
      <c r="AB12" s="17"/>
      <c r="AC12" s="17"/>
      <c r="AD12" s="17"/>
      <c r="AF12" s="1">
        <v>8</v>
      </c>
    </row>
    <row r="13" spans="2:32" s="1" customFormat="1" ht="15.75" customHeight="1" x14ac:dyDescent="0.25">
      <c r="B13" s="518" t="s">
        <v>21</v>
      </c>
      <c r="C13" s="610"/>
      <c r="E13" s="1285" t="s">
        <v>305</v>
      </c>
      <c r="F13" s="610"/>
      <c r="G13" s="512"/>
      <c r="H13" s="512"/>
      <c r="I13" s="1197" t="s">
        <v>1008</v>
      </c>
      <c r="J13" s="512"/>
      <c r="K13" s="512"/>
      <c r="L13" s="91" t="str">
        <f>IF('Manuell filtrering og justering'!$I$2='Manuell filtrering og justering'!$J$2,"",M12)</f>
        <v>Residential institution (long term stay)</v>
      </c>
      <c r="M13" s="367" t="s">
        <v>487</v>
      </c>
      <c r="N13" s="12"/>
      <c r="O13" s="91" t="str">
        <f t="shared" si="0"/>
        <v/>
      </c>
      <c r="P13" s="17"/>
      <c r="Q13" s="91" t="str">
        <f>IF(ADBT0=ADBT12,"","New Construction (shell only)")</f>
        <v>New Construction (shell only)</v>
      </c>
      <c r="T13" s="17"/>
      <c r="U13" s="17"/>
      <c r="V13" s="17"/>
      <c r="W13" s="17"/>
      <c r="X13" s="17"/>
      <c r="Y13" s="17" t="s">
        <v>519</v>
      </c>
      <c r="Z13" s="17"/>
      <c r="AA13" s="17"/>
      <c r="AB13" s="17"/>
      <c r="AC13" s="17"/>
      <c r="AD13" s="17"/>
      <c r="AF13" s="1">
        <v>9</v>
      </c>
    </row>
    <row r="14" spans="2:32" s="1" customFormat="1" ht="15.75" x14ac:dyDescent="0.25">
      <c r="B14" s="528" t="s">
        <v>22</v>
      </c>
      <c r="C14" s="611"/>
      <c r="E14" s="1286"/>
      <c r="G14" s="512"/>
      <c r="H14" s="512"/>
      <c r="I14" s="1197"/>
      <c r="J14" s="512"/>
      <c r="K14" s="512"/>
      <c r="L14" s="91" t="str">
        <f>IF('Manuell filtrering og justering'!$I$2='Manuell filtrering og justering'!$J$2,"",M13)</f>
        <v>Residential institution (short term stay)</v>
      </c>
      <c r="M14" s="367" t="s">
        <v>488</v>
      </c>
      <c r="N14" s="12"/>
      <c r="O14" s="512"/>
      <c r="P14" s="17"/>
      <c r="Q14" s="91" t="s">
        <v>36</v>
      </c>
      <c r="T14" s="17"/>
      <c r="U14" s="17"/>
      <c r="V14" s="17"/>
      <c r="W14" s="17"/>
      <c r="X14" s="17"/>
      <c r="Y14" s="17"/>
      <c r="Z14" s="17"/>
      <c r="AA14" s="17"/>
      <c r="AB14" s="17"/>
      <c r="AC14" s="17"/>
      <c r="AD14" s="17"/>
      <c r="AF14" s="1">
        <v>10</v>
      </c>
    </row>
    <row r="15" spans="2:32" s="1" customFormat="1" ht="16.5" customHeight="1" x14ac:dyDescent="0.25">
      <c r="B15" s="529"/>
      <c r="C15" s="612"/>
      <c r="E15" s="518" t="s">
        <v>1089</v>
      </c>
      <c r="F15" s="523"/>
      <c r="G15" s="512"/>
      <c r="H15" s="512"/>
      <c r="I15" s="1197">
        <f>IF(ADBT0=ADBT16,1,0)</f>
        <v>0</v>
      </c>
      <c r="J15" s="2"/>
      <c r="K15" s="512"/>
      <c r="L15" s="91" t="str">
        <f>IF('Manuell filtrering og justering'!$I$2='Manuell filtrering og justering'!$J$2,"",M14)</f>
        <v>Non-residential institution</v>
      </c>
      <c r="M15" s="367" t="s">
        <v>489</v>
      </c>
      <c r="N15" s="12"/>
      <c r="O15" s="512"/>
      <c r="P15" s="17"/>
      <c r="Q15" s="91" t="str">
        <f>IF(ADBT0=ADBT12,"","Major Refurbishment (shell and core)")</f>
        <v>Major Refurbishment (shell and core)</v>
      </c>
      <c r="U15" s="17"/>
      <c r="V15" s="17"/>
      <c r="W15" s="17"/>
      <c r="X15" s="17"/>
      <c r="Y15" s="17"/>
      <c r="Z15" s="17"/>
      <c r="AA15" s="17"/>
      <c r="AB15" s="17"/>
      <c r="AC15" s="17"/>
      <c r="AD15" s="17"/>
      <c r="AF15" s="1">
        <v>11</v>
      </c>
    </row>
    <row r="16" spans="2:32" s="1" customFormat="1" ht="15.75" x14ac:dyDescent="0.25">
      <c r="B16" s="532"/>
      <c r="C16" s="613"/>
      <c r="E16" s="521" t="s">
        <v>1009</v>
      </c>
      <c r="F16" s="524"/>
      <c r="H16" s="93" t="str">
        <f>IF(ADBT0&lt;&gt;ADBT1,AD_Yes,F16)</f>
        <v>Yes</v>
      </c>
      <c r="I16" s="1197">
        <f>IF(Pol05_credits=0,0,1)</f>
        <v>1</v>
      </c>
      <c r="J16" s="1196" t="s">
        <v>267</v>
      </c>
      <c r="K16" s="512"/>
      <c r="L16" s="91" t="str">
        <f>IF('Manuell filtrering og justering'!$I$2='Manuell filtrering og justering'!$J$2,"",M15)</f>
        <v>Assembly and leisure</v>
      </c>
      <c r="M16" s="367" t="s">
        <v>9</v>
      </c>
      <c r="N16" s="12"/>
      <c r="O16" s="512"/>
      <c r="P16" s="17"/>
      <c r="Q16" s="91" t="str">
        <f>IF(ADBT0=ADBT12,"","Major Refurbishment (shell only)")</f>
        <v>Major Refurbishment (shell only)</v>
      </c>
      <c r="U16" s="17"/>
      <c r="V16" s="17"/>
      <c r="W16" s="17"/>
      <c r="X16" s="17"/>
      <c r="Y16" s="17"/>
      <c r="Z16" s="17"/>
      <c r="AA16" s="17"/>
      <c r="AB16" s="17"/>
      <c r="AC16" s="17"/>
      <c r="AD16" s="17"/>
      <c r="AF16" s="1">
        <v>12</v>
      </c>
    </row>
    <row r="17" spans="2:34" s="1" customFormat="1" ht="15.75" x14ac:dyDescent="0.25">
      <c r="B17" s="533" t="str">
        <f>IF('Manuell filtrering og justering'!I2='Manuell filtrering og justering'!J2,"Building type (main description)","")</f>
        <v/>
      </c>
      <c r="C17" s="614"/>
      <c r="E17" s="522" t="s">
        <v>1028</v>
      </c>
      <c r="F17" s="524"/>
      <c r="H17" s="93"/>
      <c r="I17" s="1197"/>
      <c r="J17" s="1196" t="s">
        <v>268</v>
      </c>
      <c r="K17" s="512"/>
      <c r="L17" s="91" t="str">
        <f>IF('Manuell filtrering og justering'!$I$2='Manuell filtrering og justering'!$J$2,"",M17)</f>
        <v>Other</v>
      </c>
      <c r="M17" s="1" t="s">
        <v>1001</v>
      </c>
      <c r="N17" s="12"/>
      <c r="O17" s="512"/>
      <c r="P17" s="17"/>
      <c r="Q17" s="1298" t="str">
        <f>IF(OR(F7=ADPT01,F7=ADPT03),ADPT01,IF(OR(F7=Q12,F7=Q15),Q12,ADPT02))</f>
        <v>New Construction (fully fitted)</v>
      </c>
      <c r="U17" s="17"/>
      <c r="V17" s="17"/>
      <c r="W17" s="17"/>
      <c r="X17" s="17"/>
      <c r="Y17" s="17"/>
      <c r="Z17" s="17"/>
      <c r="AA17" s="17"/>
      <c r="AB17" s="17"/>
      <c r="AC17" s="17"/>
      <c r="AD17" s="17"/>
      <c r="AF17" s="1">
        <v>13</v>
      </c>
      <c r="AH17" s="93" t="s">
        <v>565</v>
      </c>
    </row>
    <row r="18" spans="2:34" s="1" customFormat="1" ht="15.75" x14ac:dyDescent="0.25">
      <c r="B18" s="521" t="s">
        <v>198</v>
      </c>
      <c r="C18" s="615"/>
      <c r="E18" s="522" t="s">
        <v>1007</v>
      </c>
      <c r="F18" s="523"/>
      <c r="G18" s="1239" t="s">
        <v>335</v>
      </c>
      <c r="I18" s="70">
        <f>IF(Ene03_credits+Pol04_credits=0,0,1)</f>
        <v>1</v>
      </c>
      <c r="J18" s="1196" t="s">
        <v>220</v>
      </c>
      <c r="K18" s="512"/>
      <c r="L18" s="39"/>
      <c r="N18" s="12"/>
      <c r="O18" s="512"/>
      <c r="P18" s="17"/>
      <c r="Q18" s="91" t="s">
        <v>83</v>
      </c>
      <c r="U18" s="17"/>
      <c r="V18" s="17"/>
      <c r="W18" s="17"/>
      <c r="X18" s="17"/>
      <c r="Y18" s="17"/>
      <c r="Z18" s="17"/>
      <c r="AA18" s="17"/>
      <c r="AB18" s="17"/>
      <c r="AC18" s="17"/>
      <c r="AD18" s="17"/>
      <c r="AH18" s="93" t="s">
        <v>566</v>
      </c>
    </row>
    <row r="19" spans="2:34" s="1" customFormat="1" ht="15.75" x14ac:dyDescent="0.25">
      <c r="B19" s="521" t="s">
        <v>199</v>
      </c>
      <c r="C19" s="616"/>
      <c r="E19" s="522" t="s">
        <v>924</v>
      </c>
      <c r="F19" s="530"/>
      <c r="G19" s="93"/>
      <c r="H19" s="17"/>
      <c r="I19" s="342">
        <f>IF(ADBT0='Manuell filtrering og justering'!H2,0,IF(Poeng!Y84+Poeng!Y85=2,0,1))</f>
        <v>1</v>
      </c>
      <c r="J19" s="1196" t="s">
        <v>270</v>
      </c>
      <c r="K19" s="512"/>
      <c r="L19" s="39"/>
      <c r="M19" s="12"/>
      <c r="N19" s="12"/>
      <c r="O19" s="512"/>
      <c r="P19" s="17"/>
      <c r="Q19" s="91" t="s">
        <v>34</v>
      </c>
      <c r="U19" s="17"/>
      <c r="V19" s="17"/>
      <c r="W19" s="17"/>
      <c r="X19" s="17"/>
      <c r="Y19" s="17"/>
      <c r="Z19" s="17"/>
      <c r="AA19" s="17"/>
      <c r="AB19" s="17"/>
      <c r="AC19" s="17"/>
      <c r="AD19" s="17"/>
    </row>
    <row r="20" spans="2:34" s="1" customFormat="1" ht="15.75" x14ac:dyDescent="0.25">
      <c r="B20" s="525" t="s">
        <v>200</v>
      </c>
      <c r="C20" s="616"/>
      <c r="E20" s="522" t="s">
        <v>925</v>
      </c>
      <c r="F20" s="523"/>
      <c r="G20" s="17"/>
      <c r="H20" s="17"/>
      <c r="I20" s="342">
        <v>1</v>
      </c>
      <c r="J20" s="1196" t="s">
        <v>220</v>
      </c>
      <c r="K20" s="512"/>
      <c r="L20" s="39"/>
      <c r="M20" s="12"/>
      <c r="N20" s="12"/>
      <c r="O20" s="512"/>
      <c r="P20" s="17"/>
      <c r="Q20" s="17"/>
      <c r="U20" s="17"/>
      <c r="V20" s="17"/>
      <c r="W20" s="17"/>
      <c r="X20" s="17"/>
      <c r="Y20" s="17"/>
      <c r="Z20" s="17"/>
      <c r="AA20" s="17"/>
      <c r="AB20" s="17"/>
      <c r="AC20" s="17"/>
      <c r="AD20" s="17"/>
    </row>
    <row r="21" spans="2:34" s="1" customFormat="1" ht="15.75" x14ac:dyDescent="0.25">
      <c r="C21" s="617"/>
      <c r="E21" s="522" t="s">
        <v>1016</v>
      </c>
      <c r="F21" s="523"/>
      <c r="G21" s="1239" t="s">
        <v>953</v>
      </c>
      <c r="H21" s="512">
        <f>IF(ADBT0=AE5,1,IF(OR(ADBT0=ADBT13,ADBT0=AD5,ADBT0=ADBT1,ADBT0=ADBT2,AND(ADBT0=ADBT8,OR(F6=U9,F6=U10))),1,0))</f>
        <v>1</v>
      </c>
      <c r="I21" s="1197">
        <f>IF(Poeng!Y91+Poeng!Y92=Poeng!T91+Poeng!T92,0,1)</f>
        <v>1</v>
      </c>
      <c r="J21" s="1196" t="s">
        <v>220</v>
      </c>
      <c r="K21" s="512">
        <f>Poeng!AB91</f>
        <v>1</v>
      </c>
      <c r="L21" s="39"/>
      <c r="M21" s="12"/>
      <c r="N21" s="12"/>
      <c r="P21" s="17"/>
      <c r="Q21" s="17"/>
      <c r="U21" s="17"/>
      <c r="V21" s="17"/>
      <c r="W21" s="17"/>
      <c r="X21" s="17"/>
      <c r="Y21" s="17"/>
      <c r="Z21" s="17"/>
      <c r="AA21" s="17"/>
      <c r="AB21" s="17"/>
      <c r="AC21" s="17"/>
      <c r="AD21" s="17"/>
    </row>
    <row r="22" spans="2:34" s="1" customFormat="1" ht="15" customHeight="1" x14ac:dyDescent="0.3">
      <c r="B22" s="517" t="s">
        <v>26</v>
      </c>
      <c r="C22" s="618"/>
      <c r="E22" s="536" t="s">
        <v>1000</v>
      </c>
      <c r="F22" s="523"/>
      <c r="I22" s="70">
        <f>IF(Poeng!Y94=Poeng!T94,0,1)</f>
        <v>1</v>
      </c>
      <c r="J22" s="1196" t="s">
        <v>220</v>
      </c>
      <c r="K22" s="512">
        <f>Poeng!AB92</f>
        <v>4</v>
      </c>
      <c r="L22" s="39"/>
      <c r="M22" s="12"/>
      <c r="N22" s="12" t="s">
        <v>279</v>
      </c>
      <c r="O22" s="17"/>
      <c r="P22" s="17"/>
      <c r="Q22" s="91" t="s">
        <v>12</v>
      </c>
      <c r="R22" s="1" t="s">
        <v>1113</v>
      </c>
      <c r="U22" s="17"/>
      <c r="V22" s="17"/>
      <c r="W22" s="17"/>
      <c r="X22" s="17"/>
      <c r="Y22" s="17"/>
      <c r="Z22" s="17"/>
      <c r="AA22" s="17"/>
      <c r="AB22" s="17"/>
      <c r="AC22" s="17"/>
      <c r="AD22" s="17"/>
    </row>
    <row r="23" spans="2:34" s="1" customFormat="1" ht="15" customHeight="1" x14ac:dyDescent="0.25">
      <c r="B23" s="534" t="s">
        <v>27</v>
      </c>
      <c r="C23" s="608"/>
      <c r="E23" s="1124" t="s">
        <v>991</v>
      </c>
      <c r="F23" s="523"/>
      <c r="G23" s="93"/>
      <c r="H23" s="512"/>
      <c r="I23" s="1197">
        <f>IF(ADBT0='Manuell filtrering og justering'!H2,0,1)</f>
        <v>1</v>
      </c>
      <c r="J23" s="1196" t="s">
        <v>220</v>
      </c>
      <c r="M23" s="12"/>
      <c r="N23" s="12"/>
      <c r="O23" s="17"/>
      <c r="P23" s="17"/>
      <c r="Q23" s="91" t="s">
        <v>13</v>
      </c>
      <c r="R23" s="1" t="s">
        <v>1114</v>
      </c>
      <c r="T23" s="17"/>
      <c r="U23" s="17"/>
      <c r="V23" s="17"/>
      <c r="W23" s="17"/>
      <c r="X23" s="17"/>
      <c r="Y23" s="17"/>
      <c r="Z23" s="17"/>
      <c r="AA23" s="17"/>
      <c r="AB23" s="17"/>
      <c r="AC23" s="17"/>
      <c r="AD23" s="17"/>
    </row>
    <row r="24" spans="2:34" s="1" customFormat="1" ht="15" customHeight="1" x14ac:dyDescent="0.25">
      <c r="B24" s="535" t="s">
        <v>28</v>
      </c>
      <c r="C24" s="608"/>
      <c r="E24" s="536" t="s">
        <v>920</v>
      </c>
      <c r="F24" s="523"/>
      <c r="G24" s="1239" t="s">
        <v>335</v>
      </c>
      <c r="H24" s="93"/>
      <c r="I24" s="1197">
        <f>IF(Pol01_credits=0,0,1)</f>
        <v>1</v>
      </c>
      <c r="J24" s="1196" t="s">
        <v>220</v>
      </c>
      <c r="K24" s="512"/>
      <c r="L24" s="39"/>
      <c r="M24" s="12"/>
      <c r="N24" s="12"/>
      <c r="O24" s="537" t="s">
        <v>273</v>
      </c>
      <c r="P24" s="17"/>
      <c r="Q24" s="91" t="s">
        <v>46</v>
      </c>
      <c r="T24" s="17"/>
      <c r="U24" s="17"/>
      <c r="V24" s="17"/>
      <c r="W24" s="17"/>
      <c r="X24" s="17"/>
      <c r="Y24" s="17"/>
      <c r="Z24" s="17"/>
      <c r="AA24" s="17"/>
      <c r="AB24" s="17"/>
      <c r="AC24" s="17"/>
      <c r="AD24" s="17"/>
    </row>
    <row r="25" spans="2:34" s="1" customFormat="1" ht="15" customHeight="1" x14ac:dyDescent="0.25">
      <c r="B25" s="535" t="s">
        <v>265</v>
      </c>
      <c r="C25" s="608"/>
      <c r="E25" s="536" t="s">
        <v>1017</v>
      </c>
      <c r="F25" s="523"/>
      <c r="G25" s="1239" t="s">
        <v>335</v>
      </c>
      <c r="H25" s="93"/>
      <c r="I25" s="1197">
        <f>IF(Poeng!Y205+Poeng!Y206=Poeng!T205+Poeng!T206,0,1)</f>
        <v>1</v>
      </c>
      <c r="J25" s="1196" t="s">
        <v>220</v>
      </c>
      <c r="K25" s="512"/>
      <c r="L25" s="39"/>
      <c r="M25" s="12"/>
      <c r="N25" s="12"/>
      <c r="O25" s="537" t="s">
        <v>271</v>
      </c>
      <c r="P25" s="17"/>
      <c r="Q25" s="17"/>
      <c r="T25" s="17"/>
      <c r="U25" s="17"/>
      <c r="V25" s="17"/>
      <c r="W25" s="17"/>
      <c r="X25" s="17"/>
      <c r="Y25" s="17"/>
      <c r="Z25" s="17"/>
      <c r="AA25" s="17"/>
      <c r="AB25" s="17"/>
      <c r="AC25" s="17"/>
      <c r="AD25" s="17"/>
    </row>
    <row r="26" spans="2:34" s="1" customFormat="1" ht="15.75" x14ac:dyDescent="0.25">
      <c r="B26" s="535" t="s">
        <v>29</v>
      </c>
      <c r="C26" s="608"/>
      <c r="E26" s="521" t="s">
        <v>989</v>
      </c>
      <c r="F26" s="523"/>
      <c r="G26" s="93"/>
      <c r="H26" s="512"/>
      <c r="I26" s="1197">
        <f>IF(ADBT0='Manuell filtrering og justering'!H2,0,IF(Mat06_credits=0,0,1))</f>
        <v>1</v>
      </c>
      <c r="J26" s="1196" t="s">
        <v>278</v>
      </c>
      <c r="K26" s="512"/>
      <c r="L26" s="39"/>
      <c r="M26" s="12"/>
      <c r="N26" s="12"/>
      <c r="O26" s="537" t="s">
        <v>274</v>
      </c>
      <c r="P26" s="17"/>
      <c r="Q26" s="91" t="s">
        <v>291</v>
      </c>
      <c r="T26" s="17"/>
      <c r="U26" s="17"/>
      <c r="V26" s="17"/>
      <c r="W26" s="17"/>
      <c r="X26" s="17"/>
      <c r="Y26" s="17"/>
      <c r="Z26" s="17"/>
      <c r="AA26" s="17"/>
      <c r="AB26" s="17"/>
      <c r="AC26" s="17"/>
      <c r="AD26" s="17"/>
    </row>
    <row r="27" spans="2:34" s="1" customFormat="1" ht="15.75" x14ac:dyDescent="0.25">
      <c r="B27" s="535" t="s">
        <v>320</v>
      </c>
      <c r="C27" s="608"/>
      <c r="E27" s="1200" t="s">
        <v>923</v>
      </c>
      <c r="F27" s="523"/>
      <c r="G27" s="1239" t="s">
        <v>335</v>
      </c>
      <c r="H27" s="512"/>
      <c r="I27" s="1198">
        <f>IF(Pol05_credits=0,0,1)</f>
        <v>1</v>
      </c>
      <c r="J27" s="1196" t="s">
        <v>220</v>
      </c>
      <c r="K27" s="512"/>
      <c r="L27" s="39"/>
      <c r="M27" s="12"/>
      <c r="N27" s="12"/>
      <c r="O27" s="537" t="s">
        <v>275</v>
      </c>
      <c r="P27" s="17"/>
      <c r="Q27" s="91" t="s">
        <v>292</v>
      </c>
      <c r="S27" s="17"/>
      <c r="T27" s="17"/>
      <c r="U27" s="17"/>
      <c r="V27" s="17"/>
      <c r="W27" s="17"/>
      <c r="X27" s="17"/>
      <c r="Y27" s="17"/>
      <c r="Z27" s="17"/>
      <c r="AA27" s="17"/>
      <c r="AB27" s="17"/>
      <c r="AC27" s="17"/>
      <c r="AD27" s="17"/>
    </row>
    <row r="28" spans="2:34" s="1" customFormat="1" ht="15.75" x14ac:dyDescent="0.25">
      <c r="B28" s="535" t="s">
        <v>319</v>
      </c>
      <c r="C28" s="608"/>
      <c r="E28" s="1199" t="s">
        <v>1027</v>
      </c>
      <c r="F28" s="523"/>
      <c r="G28" s="512"/>
      <c r="H28" s="512"/>
      <c r="I28" s="1197">
        <f>IF(Inn05_credits=0,0,IF(OR(F6=U6,F6=U7,F6=V8,F5=Y5,F5=X5,F5=Z5),1,0))</f>
        <v>0</v>
      </c>
      <c r="J28" s="1196" t="s">
        <v>220</v>
      </c>
      <c r="K28" s="512"/>
      <c r="L28" s="41"/>
      <c r="M28" s="12"/>
      <c r="N28" s="12"/>
      <c r="O28" s="537" t="s">
        <v>276</v>
      </c>
      <c r="P28" s="17"/>
      <c r="Q28" s="91" t="s">
        <v>293</v>
      </c>
      <c r="T28" s="17"/>
      <c r="U28" s="17"/>
      <c r="V28" s="17"/>
      <c r="W28" s="17"/>
      <c r="X28" s="17"/>
      <c r="Y28" s="17"/>
      <c r="Z28" s="17"/>
      <c r="AA28" s="17"/>
      <c r="AB28" s="17"/>
      <c r="AC28" s="17"/>
      <c r="AD28" s="17"/>
    </row>
    <row r="29" spans="2:34" s="1" customFormat="1" ht="15.75" x14ac:dyDescent="0.25">
      <c r="B29" s="535" t="s">
        <v>318</v>
      </c>
      <c r="C29" s="608"/>
      <c r="E29" s="1015"/>
      <c r="F29" s="531"/>
      <c r="G29" s="512"/>
      <c r="H29" s="512"/>
      <c r="I29" s="1197"/>
      <c r="M29" s="12"/>
      <c r="N29" s="12"/>
      <c r="O29" s="537" t="s">
        <v>272</v>
      </c>
      <c r="P29" s="17"/>
      <c r="Q29" s="91" t="s">
        <v>37</v>
      </c>
      <c r="T29" s="17"/>
      <c r="U29" s="17"/>
      <c r="V29" s="17"/>
      <c r="W29" s="17"/>
      <c r="X29" s="17"/>
      <c r="Y29" s="17"/>
      <c r="Z29" s="17"/>
      <c r="AA29" s="17"/>
      <c r="AB29" s="17"/>
      <c r="AC29" s="17"/>
      <c r="AD29" s="17"/>
    </row>
    <row r="30" spans="2:34" s="1" customFormat="1" ht="15.75" x14ac:dyDescent="0.25">
      <c r="B30" s="535" t="s">
        <v>316</v>
      </c>
      <c r="C30" s="608"/>
      <c r="E30" s="538" t="s">
        <v>287</v>
      </c>
      <c r="F30" s="539">
        <f>Poeng_tot</f>
        <v>153</v>
      </c>
      <c r="G30" s="512"/>
      <c r="H30" s="512"/>
      <c r="I30" s="512"/>
      <c r="J30" s="537" t="s">
        <v>921</v>
      </c>
      <c r="K30" s="2"/>
      <c r="L30" s="41"/>
      <c r="M30" s="12"/>
      <c r="N30" s="12"/>
      <c r="O30" s="537" t="s">
        <v>277</v>
      </c>
      <c r="P30" s="17"/>
      <c r="Q30" s="512"/>
      <c r="T30" s="17"/>
      <c r="U30" s="17"/>
      <c r="V30" s="17"/>
      <c r="W30" s="17"/>
      <c r="X30" s="17"/>
      <c r="Y30" s="17"/>
      <c r="Z30" s="17"/>
      <c r="AA30" s="17"/>
      <c r="AB30" s="17"/>
      <c r="AC30" s="17"/>
      <c r="AD30" s="17"/>
    </row>
    <row r="31" spans="2:34" s="1" customFormat="1" ht="15.75" x14ac:dyDescent="0.25">
      <c r="B31" s="535" t="s">
        <v>317</v>
      </c>
      <c r="C31" s="608"/>
      <c r="E31" s="522" t="s">
        <v>288</v>
      </c>
      <c r="F31" s="539">
        <f>Poeng_bort</f>
        <v>0</v>
      </c>
      <c r="G31" s="512"/>
      <c r="H31" s="512"/>
      <c r="I31" s="512"/>
      <c r="J31" s="537" t="s">
        <v>922</v>
      </c>
      <c r="K31" s="2"/>
      <c r="L31" s="41"/>
      <c r="M31" s="12"/>
      <c r="N31" s="12"/>
      <c r="O31" s="17"/>
      <c r="P31" s="17"/>
      <c r="Q31" s="91" t="s">
        <v>40</v>
      </c>
      <c r="S31" s="17"/>
      <c r="T31" s="17"/>
      <c r="U31" s="17"/>
      <c r="V31" s="17"/>
      <c r="W31" s="17"/>
      <c r="X31" s="17"/>
      <c r="Y31" s="17"/>
      <c r="Z31" s="17"/>
      <c r="AA31" s="17"/>
      <c r="AB31" s="17"/>
      <c r="AC31" s="17"/>
      <c r="AD31" s="17"/>
    </row>
    <row r="32" spans="2:34" s="1" customFormat="1" ht="15.75" x14ac:dyDescent="0.25">
      <c r="B32" s="540" t="s">
        <v>331</v>
      </c>
      <c r="C32" s="608"/>
      <c r="E32" s="541" t="s">
        <v>64</v>
      </c>
      <c r="F32" s="539">
        <f>Poeng_tilgj</f>
        <v>153</v>
      </c>
      <c r="G32" s="512"/>
      <c r="H32" s="512"/>
      <c r="I32" s="512"/>
      <c r="J32" s="2"/>
      <c r="K32" s="2"/>
      <c r="L32" s="41"/>
      <c r="M32" s="13"/>
      <c r="N32" s="13"/>
      <c r="O32" s="17"/>
      <c r="P32" s="17"/>
      <c r="Q32" s="91" t="s">
        <v>38</v>
      </c>
      <c r="R32" s="17"/>
      <c r="S32" s="17"/>
      <c r="T32" s="17"/>
      <c r="U32" s="17"/>
      <c r="V32" s="17"/>
      <c r="W32" s="17"/>
      <c r="X32" s="17"/>
      <c r="Y32" s="17"/>
      <c r="Z32" s="17"/>
      <c r="AA32" s="17"/>
      <c r="AB32" s="17"/>
      <c r="AC32" s="17"/>
      <c r="AD32" s="17"/>
    </row>
    <row r="33" spans="2:30" s="1" customFormat="1" ht="15.75" x14ac:dyDescent="0.25">
      <c r="G33" s="512"/>
      <c r="H33" s="512"/>
      <c r="I33" s="512"/>
      <c r="J33" s="9"/>
      <c r="K33" s="9"/>
      <c r="L33" s="39"/>
      <c r="M33" s="13"/>
      <c r="N33" s="13"/>
      <c r="O33" s="93" t="s">
        <v>1014</v>
      </c>
      <c r="P33" s="17"/>
      <c r="Q33" s="91" t="s">
        <v>39</v>
      </c>
      <c r="R33" s="17"/>
      <c r="S33" s="17"/>
      <c r="T33" s="17"/>
      <c r="U33" s="17"/>
      <c r="V33" s="17"/>
      <c r="W33" s="17"/>
      <c r="X33" s="17"/>
      <c r="Y33" s="17"/>
      <c r="Z33" s="17"/>
      <c r="AA33" s="17"/>
      <c r="AB33" s="17"/>
      <c r="AC33" s="17"/>
      <c r="AD33" s="17"/>
    </row>
    <row r="34" spans="2:30" s="1" customFormat="1" ht="18.75" x14ac:dyDescent="0.3">
      <c r="B34" s="542" t="s">
        <v>399</v>
      </c>
      <c r="E34" s="542" t="s">
        <v>398</v>
      </c>
      <c r="G34" s="512"/>
      <c r="H34" s="512"/>
      <c r="I34" s="512"/>
      <c r="J34" s="9"/>
      <c r="K34" s="9"/>
      <c r="L34" s="39"/>
      <c r="M34" s="13"/>
      <c r="N34" s="13"/>
      <c r="O34" s="93" t="s">
        <v>280</v>
      </c>
      <c r="P34" s="17"/>
      <c r="Q34" s="94"/>
      <c r="R34" s="17"/>
      <c r="S34" s="17"/>
      <c r="T34" s="17"/>
      <c r="U34" s="17"/>
      <c r="V34" s="17"/>
      <c r="W34" s="17"/>
      <c r="X34" s="17"/>
      <c r="Y34" s="17"/>
      <c r="Z34" s="17"/>
      <c r="AA34" s="17"/>
      <c r="AB34" s="17"/>
      <c r="AC34" s="17"/>
      <c r="AD34" s="17"/>
    </row>
    <row r="35" spans="2:30" s="1" customFormat="1" ht="80.25" customHeight="1" x14ac:dyDescent="0.25">
      <c r="B35" s="1305"/>
      <c r="C35" s="1306"/>
      <c r="E35" s="1305"/>
      <c r="F35" s="1306"/>
      <c r="G35" s="512"/>
      <c r="H35" s="512"/>
      <c r="I35" s="512"/>
      <c r="J35" s="89"/>
      <c r="K35" s="89"/>
      <c r="L35" s="12"/>
      <c r="M35" s="12"/>
      <c r="N35" s="12"/>
      <c r="O35" s="17"/>
      <c r="P35" s="16"/>
      <c r="Q35" s="512"/>
      <c r="R35" s="16"/>
      <c r="S35" s="16"/>
      <c r="T35" s="16"/>
      <c r="U35" s="17"/>
      <c r="V35" s="17"/>
      <c r="W35" s="17"/>
      <c r="X35" s="17"/>
      <c r="Y35" s="17"/>
      <c r="Z35" s="17"/>
      <c r="AA35" s="17"/>
      <c r="AB35" s="17"/>
      <c r="AC35" s="17"/>
      <c r="AD35" s="17"/>
    </row>
    <row r="36" spans="2:30" s="1" customFormat="1" ht="15.75" x14ac:dyDescent="0.25">
      <c r="E36" s="89"/>
      <c r="F36" s="89"/>
      <c r="G36" s="512"/>
      <c r="H36" s="512"/>
      <c r="I36" s="512"/>
      <c r="J36" s="89"/>
      <c r="K36" s="89"/>
      <c r="L36" s="12"/>
      <c r="M36" s="12"/>
      <c r="N36" s="12"/>
      <c r="O36" s="17"/>
      <c r="P36" s="16"/>
      <c r="Q36" s="512"/>
      <c r="R36" s="16"/>
      <c r="S36" s="16"/>
      <c r="T36" s="16"/>
      <c r="U36" s="17"/>
      <c r="V36" s="17"/>
      <c r="W36" s="17"/>
      <c r="X36" s="17"/>
      <c r="Y36" s="17"/>
      <c r="Z36" s="17"/>
      <c r="AA36" s="17"/>
      <c r="AB36" s="17"/>
      <c r="AC36" s="17"/>
      <c r="AD36" s="17"/>
    </row>
    <row r="37" spans="2:30" s="1" customFormat="1" ht="15.75" x14ac:dyDescent="0.25">
      <c r="B37" s="512" t="s">
        <v>1136</v>
      </c>
      <c r="E37" s="89"/>
      <c r="F37" s="89"/>
      <c r="G37" s="512"/>
      <c r="H37" s="512"/>
      <c r="I37" s="512"/>
      <c r="J37" s="89"/>
      <c r="K37" s="89"/>
      <c r="L37" s="12"/>
      <c r="M37" s="12"/>
      <c r="N37" s="12"/>
      <c r="O37" s="17"/>
      <c r="P37" s="16"/>
      <c r="Q37" s="1043"/>
      <c r="R37" s="16"/>
      <c r="S37" s="16"/>
      <c r="T37" s="16"/>
      <c r="U37" s="17"/>
      <c r="V37" s="17"/>
      <c r="W37" s="17"/>
      <c r="X37" s="17"/>
      <c r="Y37" s="17"/>
      <c r="Z37" s="17"/>
      <c r="AA37" s="17"/>
      <c r="AB37" s="17"/>
      <c r="AC37" s="17"/>
      <c r="AD37" s="17"/>
    </row>
    <row r="38" spans="2:30" s="1" customFormat="1" ht="15.75" x14ac:dyDescent="0.25">
      <c r="E38" s="89"/>
      <c r="F38" s="89"/>
      <c r="G38" s="512"/>
      <c r="H38" s="512"/>
      <c r="I38" s="512"/>
      <c r="J38" s="89"/>
      <c r="K38" s="89"/>
      <c r="L38" s="12"/>
      <c r="M38" s="12"/>
      <c r="N38" s="12"/>
      <c r="O38" s="17"/>
      <c r="P38" s="16"/>
      <c r="Q38" s="1043"/>
      <c r="R38" s="16"/>
      <c r="S38" s="16"/>
      <c r="T38" s="16"/>
      <c r="U38" s="17"/>
      <c r="V38" s="17"/>
      <c r="W38" s="17"/>
      <c r="X38" s="17"/>
      <c r="Y38" s="17"/>
      <c r="Z38" s="17"/>
      <c r="AA38" s="17"/>
      <c r="AB38" s="17"/>
      <c r="AC38" s="17"/>
      <c r="AD38" s="17"/>
    </row>
    <row r="39" spans="2:30" s="1" customFormat="1" ht="18.75" x14ac:dyDescent="0.3">
      <c r="B39" s="517" t="s">
        <v>48</v>
      </c>
      <c r="C39" s="7"/>
      <c r="D39" s="7"/>
      <c r="E39" s="543"/>
      <c r="F39" s="544"/>
      <c r="G39" s="512"/>
      <c r="H39" s="512"/>
      <c r="I39" s="512"/>
      <c r="L39" s="12"/>
      <c r="M39" s="12"/>
      <c r="N39" s="12"/>
      <c r="O39" s="17"/>
      <c r="P39" s="16"/>
      <c r="Q39" s="1043"/>
      <c r="R39" s="16"/>
      <c r="S39" s="16"/>
      <c r="T39" s="16"/>
      <c r="U39" s="17"/>
      <c r="V39" s="17"/>
      <c r="W39" s="17"/>
      <c r="X39" s="17"/>
      <c r="Y39" s="17"/>
      <c r="Z39" s="17"/>
      <c r="AA39" s="17"/>
      <c r="AB39" s="17"/>
      <c r="AC39" s="17"/>
      <c r="AD39" s="17"/>
    </row>
    <row r="40" spans="2:30" s="1" customFormat="1" ht="64.5" customHeight="1" x14ac:dyDescent="0.25">
      <c r="B40" s="1304"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304"/>
      <c r="D40" s="1304"/>
      <c r="E40" s="1304"/>
      <c r="F40" s="1304"/>
      <c r="G40" s="512"/>
      <c r="H40" s="512"/>
      <c r="I40" s="512"/>
      <c r="L40" s="14"/>
      <c r="M40" s="14"/>
      <c r="N40" s="12"/>
      <c r="O40" s="1" t="s">
        <v>269</v>
      </c>
      <c r="P40" s="2"/>
      <c r="R40" s="16"/>
      <c r="S40" s="16"/>
      <c r="T40" s="16"/>
      <c r="U40" s="17"/>
      <c r="V40" s="17"/>
      <c r="W40" s="17"/>
      <c r="X40" s="17"/>
      <c r="Y40" s="17"/>
      <c r="Z40" s="17"/>
      <c r="AA40" s="17"/>
      <c r="AB40" s="17"/>
      <c r="AC40" s="17"/>
      <c r="AD40" s="17"/>
    </row>
    <row r="41" spans="2:30" s="1" customFormat="1" ht="32.25" customHeight="1" x14ac:dyDescent="0.25">
      <c r="B41" s="545"/>
      <c r="C41" s="545"/>
      <c r="D41" s="545"/>
      <c r="E41" s="545"/>
      <c r="F41" s="545"/>
      <c r="G41" s="512"/>
      <c r="H41" s="512"/>
      <c r="I41" s="512"/>
      <c r="L41" s="14"/>
      <c r="M41" s="14"/>
      <c r="N41" s="12"/>
      <c r="P41" s="2"/>
      <c r="R41" s="16"/>
      <c r="S41" s="16"/>
      <c r="T41" s="16"/>
      <c r="U41" s="17"/>
      <c r="V41" s="17"/>
      <c r="W41" s="17"/>
      <c r="X41" s="17"/>
      <c r="Y41" s="17"/>
      <c r="Z41" s="17"/>
      <c r="AA41" s="17"/>
      <c r="AB41" s="17"/>
      <c r="AC41" s="17"/>
      <c r="AD41" s="17"/>
    </row>
    <row r="42" spans="2:30" s="1" customFormat="1" ht="15.75" x14ac:dyDescent="0.25">
      <c r="B42" s="546" t="s">
        <v>312</v>
      </c>
      <c r="C42" s="619"/>
      <c r="D42" s="547"/>
      <c r="E42" s="548"/>
      <c r="F42" s="549"/>
      <c r="G42" s="512"/>
      <c r="H42" s="512"/>
      <c r="I42" s="512"/>
      <c r="J42" s="12"/>
      <c r="K42" s="12"/>
      <c r="L42" s="12"/>
      <c r="M42" s="12"/>
      <c r="N42" s="12"/>
      <c r="O42" s="90" t="s">
        <v>253</v>
      </c>
      <c r="P42" s="47" t="s">
        <v>10</v>
      </c>
      <c r="Q42" s="539"/>
      <c r="R42" s="16"/>
      <c r="S42" s="16"/>
      <c r="T42" s="16"/>
      <c r="U42" s="17"/>
      <c r="V42" s="17"/>
      <c r="W42" s="17"/>
      <c r="X42" s="17"/>
      <c r="Y42" s="17"/>
      <c r="Z42" s="17"/>
      <c r="AA42" s="17"/>
      <c r="AB42" s="17"/>
      <c r="AC42" s="17"/>
      <c r="AD42" s="17"/>
    </row>
    <row r="43" spans="2:30" s="1" customFormat="1" ht="15.75" x14ac:dyDescent="0.25">
      <c r="B43" s="550" t="s">
        <v>8</v>
      </c>
      <c r="C43" s="619"/>
      <c r="D43" s="547"/>
      <c r="E43" s="548"/>
      <c r="F43" s="549"/>
      <c r="G43" s="512"/>
      <c r="H43" s="512"/>
      <c r="I43" s="512"/>
      <c r="J43" s="12"/>
      <c r="K43" s="12"/>
      <c r="L43" s="12"/>
      <c r="M43" s="12"/>
      <c r="N43" s="12"/>
      <c r="O43" s="47" t="s">
        <v>289</v>
      </c>
      <c r="P43" s="539"/>
      <c r="Q43" s="512"/>
      <c r="R43" s="40" t="s">
        <v>264</v>
      </c>
      <c r="S43" s="16"/>
      <c r="T43" s="16"/>
      <c r="U43" s="17"/>
      <c r="V43" s="17"/>
      <c r="W43" s="17"/>
      <c r="X43" s="17"/>
      <c r="Y43" s="17"/>
      <c r="Z43" s="17"/>
      <c r="AA43" s="17"/>
      <c r="AB43" s="17"/>
      <c r="AC43" s="17"/>
      <c r="AD43" s="17"/>
    </row>
    <row r="44" spans="2:30" s="1" customFormat="1" ht="16.5" thickBot="1" x14ac:dyDescent="0.3">
      <c r="B44" s="2"/>
      <c r="C44" s="547"/>
      <c r="D44" s="547"/>
      <c r="E44" s="551"/>
      <c r="F44" s="551"/>
      <c r="G44" s="512"/>
      <c r="H44" s="512"/>
      <c r="I44" s="512"/>
      <c r="J44" s="28"/>
      <c r="K44" s="28"/>
      <c r="L44" s="28"/>
      <c r="M44" s="28"/>
      <c r="N44" s="28"/>
      <c r="P44" s="17"/>
      <c r="Q44" s="17"/>
      <c r="R44" s="17"/>
      <c r="S44" s="17"/>
      <c r="T44" s="17"/>
      <c r="U44" s="17"/>
      <c r="V44" s="17"/>
      <c r="W44" s="17"/>
      <c r="X44" s="17"/>
      <c r="Y44" s="17"/>
      <c r="Z44" s="17"/>
      <c r="AA44" s="17"/>
      <c r="AB44" s="17"/>
      <c r="AC44" s="17"/>
      <c r="AD44" s="17"/>
    </row>
    <row r="45" spans="2:30" s="1" customFormat="1" ht="28.5" customHeight="1" x14ac:dyDescent="0.3">
      <c r="B45" s="517" t="s">
        <v>201</v>
      </c>
      <c r="C45" s="7"/>
      <c r="D45" s="7"/>
      <c r="E45" s="552"/>
      <c r="F45" s="552"/>
      <c r="G45" s="512"/>
      <c r="H45" s="512"/>
      <c r="I45" s="512"/>
      <c r="J45" s="28"/>
      <c r="K45" s="28"/>
      <c r="L45" s="28"/>
      <c r="M45" s="28"/>
      <c r="N45" s="266"/>
      <c r="O45" s="553" t="s">
        <v>294</v>
      </c>
      <c r="P45" s="73">
        <v>1</v>
      </c>
      <c r="Q45" s="17"/>
      <c r="R45" s="16"/>
      <c r="S45" s="16"/>
      <c r="T45" s="16"/>
      <c r="U45" s="17"/>
      <c r="V45" s="17"/>
      <c r="W45" s="17"/>
      <c r="X45" s="17"/>
      <c r="Y45" s="17"/>
      <c r="Z45" s="17"/>
      <c r="AA45" s="17"/>
      <c r="AB45" s="17"/>
      <c r="AC45" s="17"/>
      <c r="AD45" s="17"/>
    </row>
    <row r="46" spans="2:30" s="1" customFormat="1" ht="73.5" customHeight="1" x14ac:dyDescent="0.25">
      <c r="B46" s="1302" t="s">
        <v>1015</v>
      </c>
      <c r="C46" s="1302"/>
      <c r="D46" s="1302"/>
      <c r="E46" s="1302"/>
      <c r="F46" s="1302"/>
      <c r="G46" s="512"/>
      <c r="H46" s="512"/>
      <c r="I46" s="512"/>
      <c r="J46" s="28"/>
      <c r="K46" s="28"/>
      <c r="L46" s="28"/>
      <c r="M46" s="28"/>
      <c r="N46" s="265"/>
      <c r="O46" s="554" t="s">
        <v>295</v>
      </c>
      <c r="P46" s="74">
        <v>2</v>
      </c>
      <c r="Q46" s="17"/>
      <c r="R46" s="16"/>
      <c r="S46" s="16"/>
      <c r="T46" s="16"/>
      <c r="U46" s="17"/>
      <c r="V46" s="17"/>
      <c r="W46" s="17"/>
      <c r="X46" s="17"/>
      <c r="Y46" s="17"/>
      <c r="Z46" s="17"/>
      <c r="AA46" s="17"/>
      <c r="AB46" s="17"/>
      <c r="AC46" s="17"/>
      <c r="AD46" s="17"/>
    </row>
    <row r="47" spans="2:30" s="1" customFormat="1" ht="15.75" x14ac:dyDescent="0.25">
      <c r="D47" s="555"/>
      <c r="E47" s="28"/>
      <c r="F47" s="28"/>
      <c r="G47" s="512"/>
      <c r="H47" s="512"/>
      <c r="I47" s="512"/>
      <c r="J47" s="28"/>
      <c r="K47" s="28"/>
      <c r="L47" s="28"/>
      <c r="M47" s="28"/>
      <c r="N47" s="264"/>
      <c r="O47" s="556" t="s">
        <v>296</v>
      </c>
      <c r="P47" s="74">
        <v>3</v>
      </c>
      <c r="Q47" s="512"/>
      <c r="R47" s="17"/>
      <c r="S47" s="17"/>
      <c r="T47" s="17"/>
      <c r="U47" s="17"/>
      <c r="V47" s="17"/>
      <c r="W47" s="17"/>
      <c r="X47" s="17"/>
      <c r="Y47" s="17"/>
      <c r="Z47" s="17"/>
      <c r="AA47" s="17"/>
      <c r="AB47" s="17"/>
      <c r="AC47" s="17"/>
      <c r="AD47" s="17"/>
    </row>
    <row r="48" spans="2:30" s="1" customFormat="1" ht="19.5" thickBot="1" x14ac:dyDescent="0.35">
      <c r="B48" s="517" t="s">
        <v>7</v>
      </c>
      <c r="C48" s="7"/>
      <c r="D48" s="7"/>
      <c r="E48" s="552"/>
      <c r="F48" s="557"/>
      <c r="G48" s="512"/>
      <c r="H48" s="512"/>
      <c r="I48" s="512"/>
      <c r="J48" s="12"/>
      <c r="K48" s="12"/>
      <c r="L48" s="12"/>
      <c r="M48" s="12"/>
      <c r="N48" s="12"/>
      <c r="O48" s="75" t="s">
        <v>0</v>
      </c>
      <c r="P48" s="76">
        <v>4</v>
      </c>
      <c r="Q48" s="17"/>
      <c r="R48" s="17"/>
      <c r="S48" s="17"/>
      <c r="T48" s="17"/>
      <c r="U48" s="17"/>
      <c r="V48" s="17"/>
      <c r="W48" s="17"/>
      <c r="X48" s="17"/>
      <c r="Y48" s="17"/>
      <c r="Z48" s="17"/>
      <c r="AA48" s="17"/>
      <c r="AB48" s="17"/>
      <c r="AC48" s="17"/>
      <c r="AD48" s="17"/>
    </row>
    <row r="49" spans="2:30" s="1" customFormat="1" ht="15.75" x14ac:dyDescent="0.25">
      <c r="B49" s="1303" t="s">
        <v>311</v>
      </c>
      <c r="C49" s="1303"/>
      <c r="D49" s="1303"/>
      <c r="E49" s="1303"/>
      <c r="F49" s="1303"/>
      <c r="G49" s="512"/>
      <c r="H49" s="512"/>
      <c r="I49" s="512"/>
      <c r="J49" s="12"/>
      <c r="K49" s="12"/>
      <c r="L49" s="12"/>
      <c r="M49" s="12"/>
      <c r="N49" s="12"/>
      <c r="Q49" s="17"/>
      <c r="R49" s="17"/>
      <c r="S49" s="17"/>
      <c r="T49" s="17"/>
      <c r="U49" s="17"/>
      <c r="V49" s="17"/>
      <c r="W49" s="17"/>
      <c r="X49" s="17"/>
      <c r="Y49" s="17"/>
      <c r="Z49" s="17"/>
      <c r="AA49" s="17"/>
      <c r="AB49" s="17"/>
      <c r="AC49" s="17"/>
      <c r="AD49" s="17"/>
    </row>
    <row r="50" spans="2:30" s="1" customFormat="1" ht="15.75" x14ac:dyDescent="0.25">
      <c r="B50" s="2"/>
      <c r="C50" s="2"/>
      <c r="D50" s="2"/>
      <c r="E50" s="558"/>
      <c r="F50" s="559"/>
      <c r="G50" s="512"/>
      <c r="H50" s="512"/>
      <c r="I50" s="512"/>
      <c r="J50" s="12"/>
      <c r="K50" s="12"/>
      <c r="L50" s="12"/>
      <c r="M50" s="12"/>
      <c r="N50" s="12"/>
      <c r="O50" s="79" t="s">
        <v>50</v>
      </c>
      <c r="Q50" s="730" t="s">
        <v>140</v>
      </c>
      <c r="R50" s="730" t="s">
        <v>118</v>
      </c>
      <c r="S50" s="730" t="s">
        <v>94</v>
      </c>
      <c r="T50" s="730" t="s">
        <v>549</v>
      </c>
      <c r="U50" s="730" t="s">
        <v>550</v>
      </c>
      <c r="V50" s="730" t="s">
        <v>4</v>
      </c>
      <c r="W50" s="730" t="s">
        <v>551</v>
      </c>
      <c r="X50" s="730" t="s">
        <v>552</v>
      </c>
      <c r="Y50" s="730" t="s">
        <v>553</v>
      </c>
      <c r="Z50" s="17"/>
      <c r="AA50" s="17"/>
      <c r="AB50" s="17"/>
      <c r="AC50" s="17"/>
      <c r="AD50" s="17"/>
    </row>
    <row r="51" spans="2:30" s="1" customFormat="1" ht="15.75" x14ac:dyDescent="0.25">
      <c r="B51" s="558" t="s">
        <v>401</v>
      </c>
      <c r="C51" s="2"/>
      <c r="D51" s="2"/>
      <c r="E51" s="558"/>
      <c r="F51" s="559"/>
      <c r="G51" s="512"/>
      <c r="H51" s="512"/>
      <c r="I51" s="512"/>
      <c r="J51" s="12"/>
      <c r="K51" s="12"/>
      <c r="L51" s="12"/>
      <c r="M51" s="12"/>
      <c r="N51" s="12"/>
      <c r="O51" s="70" t="s">
        <v>12</v>
      </c>
      <c r="Q51" s="342" t="s">
        <v>940</v>
      </c>
      <c r="R51" s="342" t="s">
        <v>544</v>
      </c>
      <c r="S51" s="342" t="s">
        <v>554</v>
      </c>
      <c r="T51" s="342" t="s">
        <v>578</v>
      </c>
      <c r="U51" s="342"/>
      <c r="V51" s="342" t="s">
        <v>567</v>
      </c>
      <c r="W51" s="342"/>
      <c r="X51" s="342"/>
      <c r="Y51" s="342" t="s">
        <v>561</v>
      </c>
      <c r="Z51" s="17"/>
      <c r="AA51" s="17"/>
      <c r="AB51" s="17"/>
      <c r="AC51" s="17"/>
      <c r="AD51" s="17"/>
    </row>
    <row r="52" spans="2:30" s="1" customFormat="1" ht="15.75" x14ac:dyDescent="0.25">
      <c r="B52" s="2"/>
      <c r="C52" s="19"/>
      <c r="D52" s="19"/>
      <c r="E52" s="560"/>
      <c r="F52" s="561"/>
      <c r="G52" s="512"/>
      <c r="H52" s="512"/>
      <c r="I52" s="512"/>
      <c r="J52" s="12"/>
      <c r="K52" s="12"/>
      <c r="L52" s="12"/>
      <c r="M52" s="12"/>
      <c r="N52" s="12"/>
      <c r="O52" s="70" t="s">
        <v>13</v>
      </c>
      <c r="Q52" s="342" t="s">
        <v>942</v>
      </c>
      <c r="R52" s="342" t="s">
        <v>545</v>
      </c>
      <c r="S52" s="342" t="s">
        <v>555</v>
      </c>
      <c r="T52" s="342" t="s">
        <v>577</v>
      </c>
      <c r="U52" s="342"/>
      <c r="V52" s="342" t="s">
        <v>568</v>
      </c>
      <c r="W52" s="342"/>
      <c r="X52" s="342"/>
      <c r="Y52" s="342" t="s">
        <v>562</v>
      </c>
      <c r="Z52" s="17"/>
      <c r="AA52" s="17"/>
      <c r="AB52" s="17"/>
      <c r="AC52" s="17"/>
      <c r="AD52" s="17"/>
    </row>
    <row r="53" spans="2:30" s="1" customFormat="1" ht="15.75" x14ac:dyDescent="0.25">
      <c r="F53" s="39"/>
      <c r="G53" s="512"/>
      <c r="H53" s="512"/>
      <c r="I53" s="512"/>
      <c r="J53" s="12"/>
      <c r="K53" s="12"/>
      <c r="L53" s="12"/>
      <c r="M53" s="12"/>
      <c r="N53" s="12"/>
      <c r="O53" s="17" t="s">
        <v>329</v>
      </c>
      <c r="P53" s="17"/>
      <c r="Q53" s="342" t="s">
        <v>941</v>
      </c>
      <c r="R53" s="342" t="s">
        <v>13</v>
      </c>
      <c r="S53" s="342" t="s">
        <v>556</v>
      </c>
      <c r="T53" s="342" t="s">
        <v>13</v>
      </c>
      <c r="U53" s="342"/>
      <c r="V53" s="342" t="s">
        <v>13</v>
      </c>
      <c r="W53" s="342"/>
      <c r="X53" s="342"/>
      <c r="Y53" s="342" t="s">
        <v>563</v>
      </c>
      <c r="Z53" s="17"/>
      <c r="AA53" s="17"/>
      <c r="AB53" s="17"/>
      <c r="AC53" s="17"/>
      <c r="AD53" s="17"/>
    </row>
    <row r="54" spans="2:30" s="1" customFormat="1" ht="15.75" x14ac:dyDescent="0.25">
      <c r="B54" s="562" t="s">
        <v>400</v>
      </c>
      <c r="C54" s="563" t="str">
        <f>TVC_current_version</f>
        <v>1.1</v>
      </c>
      <c r="D54" s="2"/>
      <c r="E54" s="564">
        <f>TVC_current_date</f>
        <v>45327</v>
      </c>
      <c r="F54" s="39"/>
      <c r="G54" s="512"/>
      <c r="H54" s="512"/>
      <c r="I54" s="512"/>
      <c r="J54" s="12"/>
      <c r="K54" s="12"/>
      <c r="L54" s="12"/>
      <c r="M54" s="12"/>
      <c r="N54" s="12"/>
      <c r="O54" s="17"/>
      <c r="P54" s="17"/>
      <c r="Q54" s="342" t="s">
        <v>13</v>
      </c>
      <c r="R54" s="342"/>
      <c r="S54" s="342" t="s">
        <v>13</v>
      </c>
      <c r="T54" s="342"/>
      <c r="U54" s="342"/>
      <c r="V54" s="342"/>
      <c r="W54" s="342"/>
      <c r="X54" s="342"/>
      <c r="Y54" s="342" t="s">
        <v>13</v>
      </c>
      <c r="Z54" s="17"/>
      <c r="AA54" s="17"/>
      <c r="AB54" s="17"/>
      <c r="AC54" s="17"/>
      <c r="AD54" s="17"/>
    </row>
    <row r="55" spans="2:30" s="1" customFormat="1" ht="15.75" x14ac:dyDescent="0.25">
      <c r="B55" s="2"/>
      <c r="C55" s="2"/>
      <c r="D55" s="2"/>
      <c r="E55" s="4"/>
      <c r="F55" s="39"/>
      <c r="G55" s="512"/>
      <c r="H55" s="512"/>
      <c r="I55" s="512"/>
      <c r="J55" s="12"/>
      <c r="K55" s="12"/>
      <c r="L55" s="12"/>
      <c r="M55" s="12"/>
      <c r="N55" s="12"/>
      <c r="O55" s="70" t="s">
        <v>333</v>
      </c>
      <c r="P55" s="17"/>
      <c r="Q55" s="342"/>
      <c r="R55" s="342"/>
      <c r="S55" s="342"/>
      <c r="T55" s="342"/>
      <c r="U55" s="342"/>
      <c r="V55" s="342"/>
      <c r="W55" s="342"/>
      <c r="X55" s="342"/>
      <c r="Y55" s="342"/>
      <c r="Z55" s="17"/>
      <c r="AA55" s="17"/>
      <c r="AB55" s="17"/>
      <c r="AC55" s="17"/>
      <c r="AD55" s="17"/>
    </row>
    <row r="56" spans="2:30" x14ac:dyDescent="0.25">
      <c r="B56" s="565"/>
      <c r="C56" s="37"/>
      <c r="D56" s="565"/>
      <c r="E56" s="565"/>
      <c r="F56" s="565"/>
      <c r="O56" s="342" t="s">
        <v>334</v>
      </c>
      <c r="P56" s="17"/>
      <c r="Q56" s="17"/>
      <c r="R56" s="17"/>
      <c r="S56" s="17"/>
      <c r="T56" s="17"/>
      <c r="U56" s="17"/>
      <c r="V56" s="17"/>
      <c r="W56" s="17"/>
      <c r="X56" s="17"/>
      <c r="Y56" s="17"/>
      <c r="Z56" s="17"/>
      <c r="AA56" s="17"/>
      <c r="AB56" s="17"/>
      <c r="AC56" s="17"/>
      <c r="AD56" s="17"/>
    </row>
    <row r="57" spans="2:30" s="1" customFormat="1" ht="15.75" x14ac:dyDescent="0.25">
      <c r="B57" s="512"/>
      <c r="C57" s="512"/>
      <c r="D57" s="512"/>
      <c r="E57" s="15"/>
      <c r="F57" s="12"/>
      <c r="G57" s="512"/>
      <c r="H57" s="512"/>
      <c r="I57" s="512"/>
      <c r="J57" s="12"/>
      <c r="K57" s="12"/>
      <c r="L57" s="12"/>
      <c r="M57" s="12"/>
      <c r="N57" s="12"/>
      <c r="O57" s="342" t="s">
        <v>12</v>
      </c>
      <c r="P57" s="17"/>
      <c r="Q57" s="17"/>
      <c r="R57" s="17"/>
      <c r="S57" s="17"/>
      <c r="T57" s="17"/>
      <c r="U57" s="17"/>
      <c r="V57" s="17"/>
      <c r="W57" s="17"/>
      <c r="X57" s="17"/>
      <c r="Y57" s="17"/>
      <c r="Z57" s="17"/>
      <c r="AA57" s="17"/>
      <c r="AB57" s="17"/>
      <c r="AC57" s="17"/>
      <c r="AD57" s="17"/>
    </row>
    <row r="58" spans="2:30" s="1" customFormat="1" ht="15.75" x14ac:dyDescent="0.25">
      <c r="B58" s="512"/>
      <c r="C58" s="512"/>
      <c r="D58" s="512"/>
      <c r="E58" s="15"/>
      <c r="F58" s="12"/>
      <c r="G58" s="512"/>
      <c r="H58" s="512"/>
      <c r="I58" s="512"/>
      <c r="J58" s="12"/>
      <c r="K58" s="12"/>
      <c r="L58" s="12"/>
      <c r="M58" s="12"/>
      <c r="N58" s="12"/>
      <c r="O58" s="342" t="s">
        <v>328</v>
      </c>
      <c r="P58" s="17"/>
      <c r="Q58" s="17"/>
      <c r="R58" s="17"/>
      <c r="S58" s="17"/>
      <c r="T58" s="17"/>
      <c r="U58" s="17"/>
      <c r="V58" s="17"/>
      <c r="W58" s="17"/>
      <c r="X58" s="17"/>
      <c r="Y58" s="17"/>
      <c r="Z58" s="17"/>
      <c r="AA58" s="17"/>
      <c r="AB58" s="17"/>
      <c r="AC58" s="17"/>
      <c r="AD58" s="17"/>
    </row>
    <row r="59" spans="2:30" s="1" customFormat="1" ht="15.75" x14ac:dyDescent="0.25">
      <c r="C59" s="33"/>
      <c r="E59" s="512"/>
      <c r="F59" s="512"/>
      <c r="G59" s="512"/>
      <c r="H59" s="512"/>
      <c r="I59" s="512"/>
      <c r="J59" s="512"/>
      <c r="K59" s="512"/>
      <c r="L59" s="512"/>
      <c r="M59" s="512"/>
      <c r="N59" s="512"/>
      <c r="O59" s="342" t="s">
        <v>329</v>
      </c>
      <c r="P59" s="92"/>
      <c r="Q59" s="17"/>
      <c r="R59" s="17"/>
      <c r="S59" s="17"/>
      <c r="T59" s="17"/>
      <c r="U59" s="17"/>
      <c r="V59" s="17"/>
      <c r="W59" s="17"/>
      <c r="X59" s="17"/>
      <c r="Y59" s="17"/>
      <c r="Z59" s="17"/>
      <c r="AA59" s="17"/>
      <c r="AB59" s="17"/>
      <c r="AC59" s="17"/>
      <c r="AD59" s="17"/>
    </row>
    <row r="60" spans="2:30" s="1" customFormat="1" ht="15.75" x14ac:dyDescent="0.25">
      <c r="B60" s="38"/>
      <c r="C60" s="34" t="s">
        <v>8</v>
      </c>
      <c r="E60" s="15"/>
      <c r="F60" s="12"/>
      <c r="G60" s="512"/>
      <c r="H60" s="512"/>
      <c r="I60" s="512"/>
      <c r="J60" s="12"/>
      <c r="K60" s="12"/>
      <c r="L60" s="12"/>
      <c r="M60" s="12"/>
      <c r="N60" s="12"/>
      <c r="O60" s="17"/>
      <c r="P60" s="92"/>
      <c r="Q60" s="17"/>
      <c r="R60" s="17"/>
      <c r="S60" s="17"/>
      <c r="T60" s="17"/>
      <c r="U60" s="17"/>
      <c r="V60" s="17"/>
      <c r="W60" s="17"/>
      <c r="X60" s="17"/>
      <c r="Y60" s="17"/>
      <c r="Z60" s="17"/>
      <c r="AA60" s="17"/>
      <c r="AB60" s="17"/>
      <c r="AC60" s="17"/>
      <c r="AD60" s="17"/>
    </row>
    <row r="61" spans="2:30" s="1" customFormat="1" ht="15.75" x14ac:dyDescent="0.25">
      <c r="C61" s="566"/>
      <c r="E61" s="15"/>
      <c r="F61" s="12"/>
      <c r="G61" s="512"/>
      <c r="H61" s="512"/>
      <c r="I61" s="512"/>
      <c r="J61" s="12"/>
      <c r="K61" s="12"/>
      <c r="L61" s="12"/>
      <c r="M61" s="12"/>
      <c r="N61" s="12"/>
      <c r="O61" s="342" t="s">
        <v>14</v>
      </c>
      <c r="P61" s="92"/>
      <c r="Q61" s="17"/>
      <c r="R61" s="17"/>
      <c r="S61" s="17"/>
      <c r="T61" s="17"/>
      <c r="U61" s="17"/>
      <c r="V61" s="17"/>
      <c r="W61" s="17"/>
      <c r="X61" s="17"/>
      <c r="Y61" s="17"/>
      <c r="Z61" s="17"/>
      <c r="AA61" s="17"/>
      <c r="AB61" s="17"/>
      <c r="AC61" s="17"/>
      <c r="AD61" s="17"/>
    </row>
    <row r="62" spans="2:30" s="1" customFormat="1" ht="15.75" x14ac:dyDescent="0.25">
      <c r="E62" s="15"/>
      <c r="F62" s="12"/>
      <c r="G62" s="512"/>
      <c r="H62" s="512"/>
      <c r="I62" s="512"/>
      <c r="J62" s="12"/>
      <c r="K62" s="12"/>
      <c r="L62" s="12"/>
      <c r="M62" s="12"/>
      <c r="N62" s="12"/>
      <c r="O62" s="17"/>
      <c r="P62" s="17"/>
      <c r="Q62" s="17"/>
      <c r="R62" s="17"/>
      <c r="S62" s="17"/>
      <c r="T62" s="17"/>
      <c r="U62" s="17"/>
      <c r="V62" s="17"/>
      <c r="W62" s="17"/>
      <c r="X62" s="17"/>
      <c r="Y62" s="17"/>
      <c r="Z62" s="17"/>
      <c r="AA62" s="17"/>
      <c r="AB62" s="17"/>
      <c r="AC62" s="17"/>
      <c r="AD62" s="17"/>
    </row>
    <row r="63" spans="2:30" s="1" customFormat="1" ht="15.75" x14ac:dyDescent="0.25">
      <c r="B63" s="22"/>
      <c r="C63" s="35"/>
      <c r="E63" s="29"/>
      <c r="F63" s="29"/>
      <c r="G63" s="512"/>
      <c r="H63" s="512"/>
      <c r="I63" s="512"/>
      <c r="J63" s="29"/>
      <c r="K63" s="29"/>
      <c r="L63" s="29"/>
      <c r="M63" s="29"/>
      <c r="N63" s="29"/>
      <c r="O63" s="17"/>
      <c r="P63" s="17"/>
      <c r="Q63" s="17"/>
      <c r="R63" s="17"/>
      <c r="S63" s="17"/>
      <c r="T63" s="17"/>
      <c r="U63" s="17"/>
      <c r="V63" s="17"/>
      <c r="W63" s="17"/>
      <c r="X63" s="17"/>
      <c r="Y63" s="17"/>
      <c r="Z63" s="17"/>
      <c r="AA63" s="17"/>
      <c r="AB63" s="17"/>
      <c r="AC63" s="17"/>
      <c r="AD63" s="17"/>
    </row>
    <row r="64" spans="2:30" s="1" customFormat="1" ht="15" customHeight="1" x14ac:dyDescent="0.25">
      <c r="B64" s="10"/>
      <c r="C64" s="36"/>
      <c r="E64" s="25"/>
      <c r="F64" s="14"/>
      <c r="G64" s="512"/>
      <c r="H64" s="512"/>
      <c r="I64" s="512"/>
      <c r="J64" s="14"/>
      <c r="K64" s="14"/>
      <c r="L64" s="14"/>
      <c r="M64" s="14"/>
      <c r="N64" s="14"/>
      <c r="O64" s="48" t="s">
        <v>290</v>
      </c>
      <c r="P64" s="523" t="s">
        <v>277</v>
      </c>
      <c r="Q64" s="17"/>
      <c r="R64" s="17"/>
      <c r="S64" s="17"/>
      <c r="T64" s="17"/>
      <c r="U64" s="512"/>
      <c r="V64" s="512"/>
      <c r="W64" s="512"/>
      <c r="X64" s="512"/>
      <c r="Y64" s="512"/>
      <c r="Z64" s="512"/>
      <c r="AA64" s="512"/>
      <c r="AB64" s="512"/>
      <c r="AC64" s="512"/>
      <c r="AD64" s="512"/>
    </row>
    <row r="65" spans="2:30" s="1" customFormat="1" ht="15.75" x14ac:dyDescent="0.25">
      <c r="B65" s="11"/>
      <c r="C65" s="36"/>
      <c r="E65" s="25"/>
      <c r="F65" s="14"/>
      <c r="G65" s="512"/>
      <c r="H65" s="512"/>
      <c r="I65" s="512"/>
      <c r="J65" s="14"/>
      <c r="K65" s="14"/>
      <c r="L65" s="14"/>
      <c r="M65" s="14"/>
      <c r="N65" s="14"/>
      <c r="O65" s="512"/>
      <c r="P65" s="512"/>
      <c r="Q65" s="512"/>
      <c r="R65" s="512"/>
      <c r="S65" s="512"/>
      <c r="T65" s="512"/>
      <c r="U65" s="512"/>
      <c r="V65" s="512"/>
      <c r="W65" s="512"/>
      <c r="X65" s="512"/>
      <c r="Y65" s="512"/>
      <c r="Z65" s="512"/>
      <c r="AA65" s="512"/>
      <c r="AB65" s="512"/>
      <c r="AC65" s="512"/>
      <c r="AD65" s="512"/>
    </row>
    <row r="66" spans="2:30" s="1" customFormat="1" ht="15.75" x14ac:dyDescent="0.25">
      <c r="B66" s="21"/>
      <c r="C66" s="35"/>
      <c r="E66" s="15"/>
      <c r="F66" s="12"/>
      <c r="G66" s="512"/>
      <c r="H66" s="512"/>
      <c r="I66" s="512"/>
      <c r="J66" s="12"/>
      <c r="K66" s="12"/>
      <c r="L66" s="12"/>
      <c r="M66" s="12"/>
      <c r="N66" s="12"/>
      <c r="O66" s="512"/>
      <c r="P66" s="512"/>
      <c r="Q66" s="512"/>
      <c r="R66" s="512"/>
      <c r="S66" s="512"/>
      <c r="T66" s="512"/>
      <c r="U66" s="512"/>
      <c r="V66" s="512"/>
      <c r="W66" s="512"/>
      <c r="X66" s="512"/>
      <c r="Y66" s="512"/>
      <c r="Z66" s="512"/>
      <c r="AA66" s="512"/>
      <c r="AB66" s="512"/>
      <c r="AC66" s="512"/>
      <c r="AD66" s="512"/>
    </row>
    <row r="67" spans="2:30" s="1" customFormat="1" ht="15.75" x14ac:dyDescent="0.25">
      <c r="B67" s="10"/>
      <c r="C67" s="36"/>
      <c r="E67" s="15"/>
      <c r="F67" s="12"/>
      <c r="G67" s="512"/>
      <c r="H67" s="512"/>
      <c r="I67" s="512"/>
      <c r="J67" s="12"/>
      <c r="K67" s="12"/>
      <c r="L67" s="12"/>
      <c r="M67" s="12"/>
      <c r="N67" s="12"/>
      <c r="O67" s="512"/>
      <c r="Q67" s="512"/>
      <c r="R67" s="512"/>
      <c r="S67" s="512"/>
      <c r="T67" s="512"/>
      <c r="U67" s="512"/>
      <c r="V67" s="512"/>
      <c r="W67" s="512"/>
      <c r="X67" s="512"/>
      <c r="Y67" s="512"/>
      <c r="Z67" s="512"/>
      <c r="AA67" s="512"/>
      <c r="AB67" s="512"/>
      <c r="AC67" s="512"/>
      <c r="AD67" s="512"/>
    </row>
    <row r="68" spans="2:30" s="1" customFormat="1" ht="15.75" x14ac:dyDescent="0.25">
      <c r="B68" s="5"/>
      <c r="C68" s="37"/>
      <c r="E68" s="15"/>
      <c r="F68" s="12"/>
      <c r="G68" s="512"/>
      <c r="H68" s="512"/>
      <c r="I68" s="512"/>
      <c r="J68" s="12"/>
      <c r="K68" s="12"/>
      <c r="L68" s="12"/>
      <c r="M68" s="12"/>
      <c r="N68" s="12"/>
      <c r="O68" s="512"/>
      <c r="P68" s="17"/>
      <c r="Q68" s="512"/>
      <c r="R68" s="512"/>
      <c r="S68" s="512"/>
      <c r="T68" s="512"/>
      <c r="U68" s="512"/>
      <c r="V68" s="512"/>
      <c r="W68" s="512"/>
      <c r="X68" s="512"/>
      <c r="Y68" s="512"/>
      <c r="Z68" s="512"/>
      <c r="AA68" s="512"/>
      <c r="AB68" s="512"/>
      <c r="AC68" s="512"/>
      <c r="AD68" s="512"/>
    </row>
    <row r="69" spans="2:30" s="1" customFormat="1" ht="15.75" x14ac:dyDescent="0.25">
      <c r="B69" s="2"/>
      <c r="C69" s="37"/>
      <c r="E69" s="15"/>
      <c r="F69" s="12"/>
      <c r="G69" s="512"/>
      <c r="H69" s="512"/>
      <c r="I69" s="512"/>
      <c r="J69" s="12"/>
      <c r="K69" s="12"/>
      <c r="L69" s="12"/>
      <c r="M69" s="12"/>
      <c r="N69" s="12"/>
      <c r="O69" s="522" t="s">
        <v>330</v>
      </c>
      <c r="P69" s="523" t="s">
        <v>12</v>
      </c>
      <c r="Q69" s="512"/>
      <c r="R69" s="512"/>
      <c r="S69" s="512"/>
      <c r="T69" s="512"/>
      <c r="U69" s="512"/>
      <c r="V69" s="512"/>
      <c r="W69" s="512"/>
      <c r="X69" s="512"/>
      <c r="Y69" s="512"/>
      <c r="Z69" s="512"/>
      <c r="AA69" s="512"/>
      <c r="AB69" s="512"/>
      <c r="AC69" s="512"/>
      <c r="AD69" s="512"/>
    </row>
    <row r="70" spans="2:30" s="1" customFormat="1" x14ac:dyDescent="0.25">
      <c r="B70" s="2"/>
      <c r="C70" s="37"/>
      <c r="E70" s="2"/>
      <c r="G70" s="512"/>
      <c r="H70" s="512"/>
      <c r="I70" s="512"/>
      <c r="O70" s="512"/>
      <c r="P70" s="512"/>
      <c r="Q70" s="512"/>
      <c r="R70" s="512"/>
      <c r="S70" s="512"/>
      <c r="T70" s="512"/>
      <c r="U70" s="512"/>
      <c r="V70" s="512"/>
      <c r="W70" s="512"/>
      <c r="X70" s="512"/>
      <c r="Y70" s="512"/>
      <c r="Z70" s="512"/>
      <c r="AA70" s="512"/>
      <c r="AB70" s="512"/>
      <c r="AC70" s="512"/>
      <c r="AD70" s="512"/>
    </row>
    <row r="71" spans="2:30" s="1" customFormat="1" x14ac:dyDescent="0.25">
      <c r="C71" s="18"/>
      <c r="E71" s="2"/>
      <c r="G71" s="512"/>
      <c r="H71" s="512"/>
      <c r="I71" s="512"/>
      <c r="O71" s="512"/>
      <c r="P71" s="512"/>
      <c r="Q71" s="512"/>
      <c r="R71" s="512"/>
      <c r="S71" s="512"/>
      <c r="T71" s="512"/>
      <c r="U71" s="512"/>
      <c r="V71" s="512"/>
      <c r="W71" s="512"/>
      <c r="X71" s="512"/>
      <c r="Y71" s="512"/>
      <c r="Z71" s="512"/>
      <c r="AA71" s="512"/>
      <c r="AB71" s="512"/>
      <c r="AC71" s="512"/>
      <c r="AD71" s="512"/>
    </row>
    <row r="72" spans="2:30" s="1" customFormat="1" x14ac:dyDescent="0.25">
      <c r="C72" s="18"/>
      <c r="E72" s="2"/>
      <c r="G72" s="512"/>
      <c r="H72" s="512"/>
      <c r="I72" s="512"/>
      <c r="O72" s="512"/>
      <c r="P72" s="512"/>
      <c r="Q72" s="512"/>
      <c r="R72" s="512"/>
      <c r="S72" s="512"/>
      <c r="T72" s="512"/>
      <c r="U72" s="512"/>
      <c r="V72" s="512"/>
      <c r="W72" s="512"/>
      <c r="X72" s="512"/>
      <c r="Y72" s="512"/>
      <c r="Z72" s="512"/>
      <c r="AA72" s="512"/>
      <c r="AB72" s="512"/>
      <c r="AC72" s="512"/>
      <c r="AD72" s="512"/>
    </row>
    <row r="73" spans="2:30" s="1" customFormat="1" x14ac:dyDescent="0.25">
      <c r="E73" s="2"/>
      <c r="G73" s="512"/>
      <c r="H73" s="512"/>
      <c r="I73" s="512"/>
      <c r="O73" s="512"/>
      <c r="P73" s="512"/>
      <c r="Q73" s="512"/>
      <c r="R73" s="512"/>
      <c r="S73" s="512"/>
      <c r="T73" s="512"/>
      <c r="U73" s="512"/>
      <c r="V73" s="512"/>
      <c r="W73" s="512"/>
      <c r="X73" s="512"/>
      <c r="Y73" s="512"/>
      <c r="Z73" s="512"/>
      <c r="AA73" s="512"/>
      <c r="AB73" s="512"/>
      <c r="AC73" s="512"/>
      <c r="AD73" s="512"/>
    </row>
    <row r="74" spans="2:30" s="1" customFormat="1" x14ac:dyDescent="0.25">
      <c r="C74" s="18"/>
      <c r="E74" s="2"/>
      <c r="G74" s="512"/>
      <c r="H74" s="512"/>
      <c r="I74" s="512"/>
      <c r="O74" s="512"/>
      <c r="P74" s="512"/>
      <c r="Q74" s="512"/>
      <c r="R74" s="512"/>
      <c r="S74" s="512"/>
      <c r="T74" s="512"/>
      <c r="U74" s="512"/>
      <c r="V74" s="512"/>
      <c r="W74" s="512"/>
      <c r="X74" s="512"/>
      <c r="Y74" s="512"/>
      <c r="Z74" s="512"/>
      <c r="AA74" s="512"/>
      <c r="AB74" s="512"/>
      <c r="AC74" s="512"/>
      <c r="AD74" s="512"/>
    </row>
    <row r="75" spans="2:30" s="1" customFormat="1" x14ac:dyDescent="0.25">
      <c r="C75" s="18"/>
      <c r="E75" s="2"/>
      <c r="G75" s="512"/>
      <c r="H75" s="512"/>
      <c r="I75" s="512"/>
      <c r="O75" s="512"/>
      <c r="P75" s="512"/>
      <c r="Q75" s="512"/>
      <c r="R75" s="512"/>
      <c r="S75" s="512"/>
      <c r="T75" s="512"/>
      <c r="U75" s="512"/>
      <c r="V75" s="512"/>
      <c r="W75" s="512"/>
      <c r="X75" s="512"/>
      <c r="Y75" s="512"/>
      <c r="Z75" s="512"/>
      <c r="AA75" s="512"/>
      <c r="AB75" s="512"/>
      <c r="AC75" s="512"/>
      <c r="AD75" s="512"/>
    </row>
    <row r="76" spans="2:30" s="1" customFormat="1" x14ac:dyDescent="0.25">
      <c r="C76" s="18"/>
      <c r="G76" s="512"/>
      <c r="H76" s="512"/>
      <c r="I76" s="512"/>
      <c r="O76" s="512"/>
      <c r="P76" s="512"/>
      <c r="Q76" s="512"/>
      <c r="R76" s="512"/>
      <c r="S76" s="512"/>
      <c r="T76" s="512"/>
      <c r="U76" s="512"/>
      <c r="V76" s="512"/>
      <c r="W76" s="512"/>
      <c r="X76" s="512"/>
      <c r="Y76" s="512"/>
      <c r="Z76" s="512"/>
      <c r="AA76" s="512"/>
      <c r="AB76" s="512"/>
      <c r="AC76" s="512"/>
      <c r="AD76" s="512"/>
    </row>
    <row r="77" spans="2:30" s="1" customFormat="1" x14ac:dyDescent="0.25">
      <c r="C77" s="18"/>
      <c r="G77" s="512"/>
      <c r="H77" s="512"/>
      <c r="I77" s="512"/>
      <c r="J77" s="2"/>
      <c r="K77" s="2"/>
      <c r="O77" s="512"/>
      <c r="P77" s="512"/>
      <c r="Q77" s="512"/>
      <c r="R77" s="512"/>
      <c r="S77" s="512"/>
      <c r="T77" s="512"/>
      <c r="U77" s="512"/>
      <c r="V77" s="512"/>
      <c r="W77" s="512"/>
      <c r="X77" s="512"/>
      <c r="Y77" s="512"/>
      <c r="Z77" s="512"/>
      <c r="AA77" s="512"/>
      <c r="AB77" s="512"/>
      <c r="AC77" s="512"/>
      <c r="AD77" s="512"/>
    </row>
    <row r="78" spans="2:30" s="1" customFormat="1" x14ac:dyDescent="0.25">
      <c r="C78" s="18"/>
      <c r="E78" s="2"/>
      <c r="G78" s="512"/>
      <c r="H78" s="512"/>
      <c r="I78" s="512"/>
      <c r="O78" s="512"/>
      <c r="P78" s="512"/>
      <c r="Q78" s="512"/>
      <c r="R78" s="512"/>
      <c r="S78" s="512"/>
      <c r="T78" s="512"/>
      <c r="U78" s="512"/>
      <c r="V78" s="512"/>
      <c r="W78" s="512"/>
      <c r="X78" s="512"/>
      <c r="Y78" s="512"/>
      <c r="Z78" s="512"/>
      <c r="AA78" s="512"/>
      <c r="AB78" s="512"/>
      <c r="AC78" s="512"/>
      <c r="AD78" s="512"/>
    </row>
    <row r="79" spans="2:30" s="1" customFormat="1" x14ac:dyDescent="0.25">
      <c r="C79" s="18"/>
      <c r="E79" s="2"/>
      <c r="G79" s="512"/>
      <c r="H79" s="512"/>
      <c r="I79" s="512"/>
      <c r="O79" s="512"/>
      <c r="P79" s="512"/>
      <c r="Q79" s="512"/>
      <c r="R79" s="512"/>
      <c r="S79" s="512"/>
      <c r="T79" s="512"/>
      <c r="U79" s="512"/>
      <c r="V79" s="512"/>
      <c r="W79" s="512"/>
      <c r="X79" s="512"/>
      <c r="Y79" s="512"/>
      <c r="Z79" s="512"/>
      <c r="AA79" s="512"/>
      <c r="AB79" s="512"/>
      <c r="AC79" s="512"/>
      <c r="AD79" s="512"/>
    </row>
    <row r="80" spans="2:30" s="1" customFormat="1" x14ac:dyDescent="0.25">
      <c r="C80" s="18"/>
      <c r="E80" s="2"/>
      <c r="G80" s="512"/>
      <c r="H80" s="512"/>
      <c r="I80" s="512"/>
      <c r="O80" s="512"/>
      <c r="P80" s="512"/>
      <c r="Q80" s="522" t="s">
        <v>25</v>
      </c>
      <c r="R80" s="523" t="s">
        <v>83</v>
      </c>
      <c r="S80" s="512"/>
      <c r="T80" s="512"/>
      <c r="U80" s="512"/>
      <c r="V80" s="512"/>
      <c r="W80" s="512"/>
      <c r="X80" s="512"/>
      <c r="Y80" s="512"/>
      <c r="Z80" s="512"/>
      <c r="AA80" s="512"/>
      <c r="AB80" s="512"/>
      <c r="AC80" s="512"/>
      <c r="AD80" s="512"/>
    </row>
    <row r="81" spans="3:30" s="1" customFormat="1" x14ac:dyDescent="0.25">
      <c r="C81" s="18"/>
      <c r="E81" s="2"/>
      <c r="G81" s="512"/>
      <c r="H81" s="512"/>
      <c r="I81" s="512"/>
      <c r="O81" s="512"/>
      <c r="P81" s="512"/>
      <c r="Q81" s="522" t="s">
        <v>321</v>
      </c>
      <c r="R81" s="524" t="s">
        <v>42</v>
      </c>
      <c r="S81" s="512"/>
      <c r="T81" s="512"/>
      <c r="U81" s="512"/>
      <c r="V81" s="512"/>
      <c r="W81" s="512"/>
      <c r="X81" s="512"/>
      <c r="Y81" s="512"/>
      <c r="Z81" s="512"/>
      <c r="AA81" s="512"/>
      <c r="AB81" s="512"/>
      <c r="AC81" s="512"/>
      <c r="AD81" s="512"/>
    </row>
    <row r="82" spans="3:30" s="1" customFormat="1" x14ac:dyDescent="0.25">
      <c r="C82" s="18"/>
      <c r="E82" s="2"/>
      <c r="G82" s="512"/>
      <c r="H82" s="512"/>
      <c r="I82" s="512"/>
      <c r="O82" s="512"/>
      <c r="P82" s="512"/>
      <c r="Q82" s="526" t="s">
        <v>322</v>
      </c>
      <c r="R82" s="524" t="s">
        <v>539</v>
      </c>
      <c r="S82" s="512"/>
      <c r="T82" s="512"/>
      <c r="U82" s="512"/>
      <c r="V82" s="512"/>
      <c r="W82" s="512"/>
      <c r="X82" s="512"/>
      <c r="Y82" s="512"/>
      <c r="Z82" s="512"/>
      <c r="AA82" s="512"/>
      <c r="AB82" s="512"/>
      <c r="AC82" s="512"/>
      <c r="AD82" s="512"/>
    </row>
    <row r="83" spans="3:30" s="1" customFormat="1" x14ac:dyDescent="0.25">
      <c r="C83" s="18"/>
      <c r="E83" s="2"/>
      <c r="G83" s="512"/>
      <c r="H83" s="512"/>
      <c r="I83" s="512"/>
      <c r="O83" s="512"/>
      <c r="P83" s="512"/>
      <c r="Q83" s="512"/>
      <c r="R83" s="512"/>
      <c r="S83" s="512"/>
      <c r="T83" s="512"/>
      <c r="U83" s="512"/>
      <c r="V83" s="512"/>
      <c r="W83" s="512"/>
      <c r="X83" s="512"/>
      <c r="Y83" s="512"/>
      <c r="Z83" s="512"/>
      <c r="AA83" s="512"/>
      <c r="AB83" s="512"/>
      <c r="AC83" s="512"/>
      <c r="AD83" s="512"/>
    </row>
    <row r="84" spans="3:30" s="1" customFormat="1" x14ac:dyDescent="0.25">
      <c r="E84" s="2"/>
      <c r="G84" s="512"/>
      <c r="H84" s="512"/>
      <c r="I84" s="512"/>
      <c r="O84" s="512"/>
      <c r="P84" s="512"/>
      <c r="Q84" s="512"/>
      <c r="R84" s="512"/>
      <c r="S84" s="512"/>
      <c r="T84" s="512"/>
      <c r="U84" s="512"/>
      <c r="V84" s="512"/>
      <c r="W84" s="512"/>
      <c r="X84" s="512"/>
      <c r="Y84" s="512"/>
      <c r="Z84" s="512"/>
      <c r="AA84" s="512"/>
      <c r="AB84" s="512"/>
      <c r="AC84" s="512"/>
      <c r="AD84" s="512"/>
    </row>
    <row r="85" spans="3:30" s="1" customFormat="1" x14ac:dyDescent="0.25">
      <c r="E85" s="2"/>
      <c r="G85" s="512"/>
      <c r="H85" s="512"/>
      <c r="I85" s="512"/>
      <c r="O85" s="512"/>
      <c r="P85" s="512"/>
      <c r="Q85" s="512"/>
      <c r="R85" s="512"/>
      <c r="S85" s="512"/>
      <c r="T85" s="512"/>
      <c r="U85" s="512"/>
      <c r="V85" s="512"/>
      <c r="W85" s="512"/>
      <c r="X85" s="512"/>
      <c r="Y85" s="512"/>
      <c r="Z85" s="512"/>
      <c r="AA85" s="512"/>
      <c r="AB85" s="512"/>
      <c r="AC85" s="512"/>
      <c r="AD85" s="512"/>
    </row>
    <row r="86" spans="3:30" s="1" customFormat="1" x14ac:dyDescent="0.25">
      <c r="E86" s="2"/>
      <c r="G86" s="512"/>
      <c r="H86" s="512"/>
      <c r="I86" s="512"/>
      <c r="O86" s="512"/>
      <c r="P86" s="512"/>
      <c r="Q86" s="512"/>
      <c r="R86" s="512"/>
      <c r="S86" s="512"/>
      <c r="T86" s="512"/>
      <c r="U86" s="512"/>
      <c r="V86" s="512"/>
      <c r="W86" s="512"/>
      <c r="X86" s="512"/>
      <c r="Y86" s="512"/>
      <c r="Z86" s="512"/>
      <c r="AA86" s="512"/>
      <c r="AB86" s="512"/>
      <c r="AC86" s="512"/>
      <c r="AD86" s="512"/>
    </row>
    <row r="87" spans="3:30" s="1" customFormat="1" x14ac:dyDescent="0.25">
      <c r="E87" s="2"/>
      <c r="G87" s="512"/>
      <c r="H87" s="512"/>
      <c r="I87" s="512"/>
      <c r="O87" s="512"/>
      <c r="P87" s="512"/>
      <c r="Q87" s="512"/>
      <c r="R87" s="512"/>
      <c r="S87" s="512"/>
      <c r="T87" s="512"/>
      <c r="U87" s="512"/>
      <c r="V87" s="512"/>
      <c r="W87" s="512"/>
      <c r="X87" s="512"/>
      <c r="Y87" s="512"/>
      <c r="Z87" s="512"/>
      <c r="AA87" s="512"/>
      <c r="AB87" s="512"/>
      <c r="AC87" s="512"/>
      <c r="AD87" s="512"/>
    </row>
    <row r="88" spans="3:30" s="1" customFormat="1" x14ac:dyDescent="0.25">
      <c r="E88" s="2"/>
      <c r="G88" s="512"/>
      <c r="H88" s="512"/>
      <c r="I88" s="512"/>
      <c r="O88" s="512"/>
      <c r="P88" s="512"/>
      <c r="Q88" s="512"/>
      <c r="R88" s="512"/>
      <c r="S88" s="512"/>
      <c r="T88" s="512"/>
      <c r="U88" s="512"/>
      <c r="V88" s="512"/>
      <c r="W88" s="512"/>
      <c r="X88" s="512"/>
      <c r="Y88" s="512"/>
      <c r="Z88" s="512"/>
      <c r="AA88" s="512"/>
      <c r="AB88" s="512"/>
      <c r="AC88" s="512"/>
      <c r="AD88" s="512"/>
    </row>
    <row r="89" spans="3:30" s="1" customFormat="1" x14ac:dyDescent="0.25">
      <c r="E89" s="2"/>
      <c r="G89" s="512"/>
      <c r="H89" s="512"/>
      <c r="I89" s="512"/>
      <c r="O89" s="512"/>
      <c r="P89" s="512"/>
      <c r="Q89" s="512"/>
      <c r="R89" s="512"/>
      <c r="S89" s="512"/>
      <c r="T89" s="512"/>
      <c r="U89" s="512"/>
      <c r="V89" s="512"/>
      <c r="W89" s="512"/>
      <c r="X89" s="512"/>
      <c r="Y89" s="512"/>
      <c r="Z89" s="512"/>
      <c r="AA89" s="512"/>
      <c r="AB89" s="512"/>
      <c r="AC89" s="512"/>
      <c r="AD89" s="512"/>
    </row>
    <row r="90" spans="3:30" s="1" customFormat="1" x14ac:dyDescent="0.25">
      <c r="E90" s="2"/>
      <c r="G90" s="512"/>
      <c r="H90" s="512"/>
      <c r="I90" s="512"/>
      <c r="O90" s="512"/>
      <c r="P90" s="512"/>
      <c r="Q90" s="512"/>
      <c r="R90" s="512"/>
      <c r="S90" s="512"/>
      <c r="T90" s="512"/>
      <c r="U90" s="512"/>
      <c r="V90" s="512"/>
      <c r="W90" s="512"/>
      <c r="X90" s="512"/>
      <c r="Y90" s="512"/>
      <c r="Z90" s="512"/>
      <c r="AA90" s="512"/>
      <c r="AB90" s="512"/>
      <c r="AC90" s="512"/>
      <c r="AD90" s="512"/>
    </row>
    <row r="91" spans="3:30" s="1" customFormat="1" x14ac:dyDescent="0.25">
      <c r="E91" s="2"/>
      <c r="G91" s="512"/>
      <c r="H91" s="512"/>
      <c r="I91" s="512"/>
      <c r="O91" s="512"/>
      <c r="P91" s="512"/>
      <c r="Q91" s="512"/>
      <c r="R91" s="512"/>
      <c r="S91" s="512"/>
      <c r="T91" s="512"/>
      <c r="U91" s="512"/>
      <c r="V91" s="512"/>
      <c r="W91" s="512"/>
      <c r="X91" s="512"/>
      <c r="Y91" s="512"/>
      <c r="Z91" s="512"/>
      <c r="AA91" s="512"/>
      <c r="AB91" s="512"/>
      <c r="AC91" s="512"/>
      <c r="AD91" s="512"/>
    </row>
    <row r="92" spans="3:30" s="1" customFormat="1" x14ac:dyDescent="0.25">
      <c r="E92" s="2"/>
      <c r="G92" s="512"/>
      <c r="H92" s="512"/>
      <c r="I92" s="512"/>
      <c r="O92" s="512"/>
      <c r="P92" s="512"/>
      <c r="Q92" s="512"/>
      <c r="R92" s="512"/>
      <c r="S92" s="512"/>
      <c r="T92" s="512"/>
      <c r="U92" s="512"/>
      <c r="V92" s="512"/>
      <c r="W92" s="512"/>
      <c r="X92" s="512"/>
      <c r="Y92" s="512"/>
      <c r="Z92" s="512"/>
      <c r="AA92" s="512"/>
      <c r="AB92" s="512"/>
      <c r="AC92" s="512"/>
      <c r="AD92" s="512"/>
    </row>
    <row r="93" spans="3:30" s="1" customFormat="1" x14ac:dyDescent="0.25">
      <c r="E93" s="2"/>
      <c r="G93" s="512"/>
      <c r="H93" s="512"/>
      <c r="I93" s="512"/>
      <c r="O93" s="512"/>
      <c r="P93" s="512"/>
      <c r="Q93" s="512"/>
      <c r="R93" s="512"/>
      <c r="S93" s="512"/>
      <c r="T93" s="512"/>
      <c r="U93" s="512"/>
      <c r="V93" s="512"/>
      <c r="W93" s="512"/>
      <c r="X93" s="512"/>
      <c r="Y93" s="512"/>
      <c r="Z93" s="512"/>
      <c r="AA93" s="512"/>
      <c r="AB93" s="512"/>
      <c r="AC93" s="512"/>
      <c r="AD93" s="512"/>
    </row>
    <row r="94" spans="3:30" s="1" customFormat="1" x14ac:dyDescent="0.25">
      <c r="E94" s="2"/>
      <c r="G94" s="512"/>
      <c r="H94" s="512"/>
      <c r="I94" s="512"/>
      <c r="O94" s="512"/>
      <c r="P94" s="512"/>
      <c r="Q94" s="512"/>
      <c r="R94" s="512"/>
      <c r="S94" s="512"/>
      <c r="T94" s="512"/>
      <c r="U94" s="512"/>
      <c r="V94" s="512"/>
      <c r="W94" s="512"/>
      <c r="X94" s="512"/>
      <c r="Y94" s="512"/>
      <c r="Z94" s="512"/>
      <c r="AA94" s="512"/>
      <c r="AB94" s="512"/>
      <c r="AC94" s="512"/>
      <c r="AD94" s="512"/>
    </row>
    <row r="95" spans="3:30" s="1" customFormat="1" x14ac:dyDescent="0.25">
      <c r="E95" s="2"/>
      <c r="G95" s="512"/>
      <c r="H95" s="512"/>
      <c r="I95" s="512"/>
      <c r="O95" s="512"/>
      <c r="P95" s="512"/>
      <c r="Q95" s="512"/>
      <c r="R95" s="512"/>
      <c r="S95" s="512"/>
      <c r="T95" s="512"/>
      <c r="U95" s="512"/>
      <c r="V95" s="512"/>
      <c r="W95" s="512"/>
      <c r="X95" s="512"/>
      <c r="Y95" s="512"/>
      <c r="Z95" s="512"/>
      <c r="AA95" s="512"/>
      <c r="AB95" s="512"/>
      <c r="AC95" s="512"/>
      <c r="AD95" s="512"/>
    </row>
    <row r="96" spans="3:30" s="1" customFormat="1" x14ac:dyDescent="0.25">
      <c r="E96" s="2"/>
      <c r="G96" s="512"/>
      <c r="H96" s="512"/>
      <c r="I96" s="512"/>
      <c r="O96" s="512"/>
      <c r="P96" s="512"/>
      <c r="Q96" s="512"/>
      <c r="R96" s="512"/>
      <c r="S96" s="512"/>
      <c r="T96" s="512"/>
      <c r="U96" s="512"/>
      <c r="V96" s="512"/>
      <c r="W96" s="512"/>
      <c r="X96" s="512"/>
      <c r="Y96" s="512"/>
      <c r="Z96" s="512"/>
      <c r="AA96" s="512"/>
      <c r="AB96" s="512"/>
      <c r="AC96" s="512"/>
      <c r="AD96" s="512"/>
    </row>
    <row r="97" spans="5:30" s="1" customFormat="1" x14ac:dyDescent="0.25">
      <c r="E97" s="2"/>
      <c r="G97" s="512"/>
      <c r="H97" s="512"/>
      <c r="I97" s="512"/>
      <c r="O97" s="512"/>
      <c r="P97" s="512"/>
      <c r="Q97" s="512"/>
      <c r="R97" s="512"/>
      <c r="S97" s="512"/>
      <c r="T97" s="512"/>
      <c r="U97" s="512"/>
      <c r="V97" s="512"/>
      <c r="W97" s="512"/>
      <c r="X97" s="512"/>
      <c r="Y97" s="512"/>
      <c r="Z97" s="512"/>
      <c r="AA97" s="512"/>
      <c r="AB97" s="512"/>
      <c r="AC97" s="512"/>
      <c r="AD97" s="512"/>
    </row>
    <row r="98" spans="5:30" s="1" customFormat="1" x14ac:dyDescent="0.25">
      <c r="E98" s="2"/>
      <c r="G98" s="512"/>
      <c r="H98" s="512"/>
      <c r="I98" s="512"/>
      <c r="O98" s="512"/>
      <c r="P98" s="512"/>
      <c r="Q98" s="512"/>
      <c r="R98" s="512"/>
      <c r="S98" s="512"/>
      <c r="T98" s="512"/>
      <c r="U98" s="512"/>
      <c r="V98" s="512"/>
      <c r="W98" s="512"/>
      <c r="X98" s="512"/>
      <c r="Y98" s="512"/>
      <c r="Z98" s="512"/>
      <c r="AA98" s="512"/>
      <c r="AB98" s="512"/>
      <c r="AC98" s="512"/>
      <c r="AD98" s="512"/>
    </row>
    <row r="99" spans="5:30" s="1" customFormat="1" x14ac:dyDescent="0.25">
      <c r="E99" s="2"/>
      <c r="G99" s="512"/>
      <c r="H99" s="512"/>
      <c r="I99" s="512"/>
      <c r="O99" s="512"/>
      <c r="P99" s="512"/>
      <c r="Q99" s="512"/>
      <c r="R99" s="512"/>
      <c r="S99" s="512"/>
      <c r="T99" s="512"/>
      <c r="U99" s="512"/>
      <c r="V99" s="512"/>
      <c r="W99" s="512"/>
      <c r="X99" s="512"/>
      <c r="Y99" s="512"/>
      <c r="Z99" s="512"/>
      <c r="AA99" s="512"/>
      <c r="AB99" s="512"/>
      <c r="AC99" s="512"/>
      <c r="AD99" s="512"/>
    </row>
    <row r="100" spans="5:30" s="1" customFormat="1" x14ac:dyDescent="0.25">
      <c r="E100" s="2"/>
      <c r="G100" s="512"/>
      <c r="H100" s="512"/>
      <c r="I100" s="512"/>
      <c r="O100" s="512"/>
      <c r="P100" s="512"/>
      <c r="Q100" s="512"/>
      <c r="R100" s="512"/>
      <c r="S100" s="512"/>
      <c r="T100" s="512"/>
      <c r="U100" s="512"/>
      <c r="V100" s="512"/>
      <c r="W100" s="512"/>
      <c r="X100" s="512"/>
      <c r="Y100" s="512"/>
      <c r="Z100" s="512"/>
      <c r="AA100" s="512"/>
      <c r="AB100" s="512"/>
      <c r="AC100" s="512"/>
      <c r="AD100" s="512"/>
    </row>
    <row r="101" spans="5:30" s="1" customFormat="1" x14ac:dyDescent="0.25">
      <c r="E101" s="2"/>
      <c r="G101" s="512"/>
      <c r="H101" s="512"/>
      <c r="I101" s="512"/>
      <c r="O101" s="512"/>
      <c r="P101" s="512"/>
      <c r="Q101" s="512"/>
      <c r="R101" s="512"/>
      <c r="S101" s="512"/>
      <c r="T101" s="512"/>
      <c r="U101" s="512"/>
      <c r="V101" s="512"/>
      <c r="W101" s="512"/>
      <c r="X101" s="512"/>
      <c r="Y101" s="512"/>
      <c r="Z101" s="512"/>
      <c r="AA101" s="512"/>
      <c r="AB101" s="512"/>
      <c r="AC101" s="512"/>
      <c r="AD101" s="512"/>
    </row>
    <row r="102" spans="5:30" s="1" customFormat="1" x14ac:dyDescent="0.25">
      <c r="E102" s="2"/>
      <c r="G102" s="512"/>
      <c r="H102" s="512"/>
      <c r="I102" s="512"/>
      <c r="O102" s="512"/>
      <c r="P102" s="512"/>
      <c r="Q102" s="512"/>
      <c r="R102" s="512"/>
      <c r="S102" s="512"/>
      <c r="T102" s="512"/>
      <c r="U102" s="512"/>
      <c r="V102" s="512"/>
      <c r="W102" s="512"/>
      <c r="X102" s="512"/>
      <c r="Y102" s="512"/>
      <c r="Z102" s="512"/>
      <c r="AA102" s="512"/>
      <c r="AB102" s="512"/>
      <c r="AC102" s="512"/>
      <c r="AD102" s="512"/>
    </row>
    <row r="103" spans="5:30" s="1" customFormat="1" x14ac:dyDescent="0.25">
      <c r="E103" s="2"/>
      <c r="G103" s="512"/>
      <c r="H103" s="512"/>
      <c r="I103" s="512"/>
      <c r="O103" s="512"/>
      <c r="P103" s="512"/>
      <c r="Q103" s="512"/>
      <c r="R103" s="512"/>
      <c r="S103" s="512"/>
      <c r="T103" s="512"/>
      <c r="U103" s="512"/>
      <c r="V103" s="512"/>
      <c r="W103" s="512"/>
      <c r="X103" s="512"/>
      <c r="Y103" s="512"/>
      <c r="Z103" s="512"/>
      <c r="AA103" s="512"/>
      <c r="AB103" s="512"/>
      <c r="AC103" s="512"/>
      <c r="AD103" s="512"/>
    </row>
    <row r="104" spans="5:30" s="1" customFormat="1" x14ac:dyDescent="0.25">
      <c r="E104" s="2"/>
      <c r="G104" s="512"/>
      <c r="H104" s="512"/>
      <c r="I104" s="512"/>
      <c r="O104" s="512"/>
      <c r="P104" s="512"/>
      <c r="Q104" s="512"/>
      <c r="R104" s="512"/>
      <c r="S104" s="512"/>
      <c r="T104" s="512"/>
      <c r="U104" s="512"/>
      <c r="V104" s="512"/>
      <c r="W104" s="512"/>
      <c r="X104" s="512"/>
      <c r="Y104" s="512"/>
      <c r="Z104" s="512"/>
      <c r="AA104" s="512"/>
      <c r="AB104" s="512"/>
      <c r="AC104" s="512"/>
      <c r="AD104" s="512"/>
    </row>
    <row r="105" spans="5:30" s="1" customFormat="1" x14ac:dyDescent="0.25">
      <c r="E105" s="2"/>
      <c r="G105" s="512"/>
      <c r="H105" s="512"/>
      <c r="I105" s="512"/>
      <c r="O105" s="512"/>
      <c r="P105" s="512"/>
      <c r="Q105" s="512"/>
      <c r="R105" s="512"/>
      <c r="S105" s="512"/>
      <c r="T105" s="512"/>
      <c r="U105" s="512"/>
      <c r="V105" s="512"/>
      <c r="W105" s="512"/>
      <c r="X105" s="512"/>
      <c r="Y105" s="512"/>
      <c r="Z105" s="512"/>
      <c r="AA105" s="512"/>
      <c r="AB105" s="512"/>
      <c r="AC105" s="512"/>
      <c r="AD105" s="512"/>
    </row>
    <row r="106" spans="5:30" s="1" customFormat="1" x14ac:dyDescent="0.25">
      <c r="E106" s="2"/>
      <c r="G106" s="512"/>
      <c r="H106" s="512"/>
      <c r="I106" s="512"/>
      <c r="O106" s="512"/>
      <c r="P106" s="512"/>
      <c r="Q106" s="512"/>
      <c r="R106" s="512"/>
      <c r="S106" s="512"/>
      <c r="T106" s="512"/>
      <c r="U106" s="512"/>
      <c r="V106" s="512"/>
      <c r="W106" s="512"/>
      <c r="X106" s="512"/>
      <c r="Y106" s="512"/>
      <c r="Z106" s="512"/>
      <c r="AA106" s="512"/>
      <c r="AB106" s="512"/>
      <c r="AC106" s="512"/>
      <c r="AD106" s="512"/>
    </row>
    <row r="107" spans="5:30" s="1" customFormat="1" x14ac:dyDescent="0.25">
      <c r="E107" s="2"/>
      <c r="G107" s="512"/>
      <c r="H107" s="512"/>
      <c r="I107" s="512"/>
      <c r="O107" s="512"/>
      <c r="P107" s="512"/>
      <c r="Q107" s="512"/>
      <c r="R107" s="512"/>
      <c r="S107" s="512"/>
      <c r="T107" s="512"/>
      <c r="U107" s="512"/>
      <c r="V107" s="512"/>
      <c r="W107" s="512"/>
      <c r="X107" s="512"/>
      <c r="Y107" s="512"/>
      <c r="Z107" s="512"/>
      <c r="AA107" s="512"/>
      <c r="AB107" s="512"/>
      <c r="AC107" s="512"/>
      <c r="AD107" s="512"/>
    </row>
    <row r="108" spans="5:30" s="1" customFormat="1" x14ac:dyDescent="0.25">
      <c r="E108" s="2"/>
      <c r="G108" s="512"/>
      <c r="H108" s="512"/>
      <c r="I108" s="512"/>
      <c r="O108" s="512"/>
      <c r="P108" s="512"/>
      <c r="Q108" s="512"/>
      <c r="R108" s="512"/>
      <c r="S108" s="512"/>
      <c r="T108" s="512"/>
      <c r="U108" s="512"/>
      <c r="V108" s="512"/>
      <c r="W108" s="512"/>
      <c r="X108" s="512"/>
      <c r="Y108" s="512"/>
      <c r="Z108" s="512"/>
      <c r="AA108" s="512"/>
      <c r="AB108" s="512"/>
      <c r="AC108" s="512"/>
      <c r="AD108" s="512"/>
    </row>
    <row r="109" spans="5:30" s="1" customFormat="1" x14ac:dyDescent="0.25">
      <c r="E109" s="2"/>
      <c r="G109" s="512"/>
      <c r="H109" s="512"/>
      <c r="I109" s="512"/>
      <c r="O109" s="512"/>
      <c r="P109" s="512"/>
      <c r="Q109" s="512"/>
      <c r="R109" s="512"/>
      <c r="S109" s="512"/>
      <c r="T109" s="512"/>
      <c r="U109" s="512"/>
      <c r="V109" s="512"/>
      <c r="W109" s="512"/>
      <c r="X109" s="512"/>
      <c r="Y109" s="512"/>
      <c r="Z109" s="512"/>
      <c r="AA109" s="512"/>
      <c r="AB109" s="512"/>
      <c r="AC109" s="512"/>
      <c r="AD109" s="512"/>
    </row>
    <row r="110" spans="5:30" s="1" customFormat="1" x14ac:dyDescent="0.25">
      <c r="E110" s="2"/>
      <c r="G110" s="512"/>
      <c r="H110" s="512"/>
      <c r="I110" s="512"/>
      <c r="O110" s="512"/>
      <c r="P110" s="512"/>
      <c r="Q110" s="512"/>
      <c r="R110" s="512"/>
      <c r="S110" s="512"/>
      <c r="T110" s="512"/>
      <c r="U110" s="512"/>
      <c r="V110" s="512"/>
      <c r="W110" s="512"/>
      <c r="X110" s="512"/>
      <c r="Y110" s="512"/>
      <c r="Z110" s="512"/>
      <c r="AA110" s="512"/>
      <c r="AB110" s="512"/>
      <c r="AC110" s="512"/>
      <c r="AD110" s="512"/>
    </row>
    <row r="111" spans="5:30" s="1" customFormat="1" x14ac:dyDescent="0.25">
      <c r="E111" s="2"/>
      <c r="G111" s="512"/>
      <c r="H111" s="512"/>
      <c r="I111" s="512"/>
      <c r="O111" s="512"/>
      <c r="P111" s="512"/>
      <c r="Q111" s="512"/>
      <c r="R111" s="512"/>
      <c r="S111" s="512"/>
      <c r="T111" s="512"/>
      <c r="U111" s="512"/>
      <c r="V111" s="512"/>
      <c r="W111" s="512"/>
      <c r="X111" s="512"/>
      <c r="Y111" s="512"/>
      <c r="Z111" s="512"/>
      <c r="AA111" s="512"/>
      <c r="AB111" s="512"/>
      <c r="AC111" s="512"/>
      <c r="AD111" s="512"/>
    </row>
    <row r="112" spans="5:30" s="1" customFormat="1" x14ac:dyDescent="0.25">
      <c r="E112" s="2"/>
      <c r="G112" s="512"/>
      <c r="H112" s="512"/>
      <c r="I112" s="512"/>
      <c r="O112" s="512"/>
      <c r="P112" s="512"/>
      <c r="Q112" s="512"/>
      <c r="R112" s="512"/>
      <c r="S112" s="512"/>
      <c r="T112" s="512"/>
      <c r="U112" s="512"/>
      <c r="V112" s="512"/>
      <c r="W112" s="512"/>
      <c r="X112" s="512"/>
      <c r="Y112" s="512"/>
      <c r="Z112" s="512"/>
      <c r="AA112" s="512"/>
      <c r="AB112" s="512"/>
      <c r="AC112" s="512"/>
      <c r="AD112" s="512"/>
    </row>
    <row r="113" spans="5:30" s="1" customFormat="1" x14ac:dyDescent="0.25">
      <c r="E113" s="2"/>
      <c r="G113" s="512"/>
      <c r="H113" s="512"/>
      <c r="I113" s="512"/>
      <c r="O113" s="512"/>
      <c r="P113" s="512"/>
      <c r="Q113" s="512"/>
      <c r="R113" s="512"/>
      <c r="S113" s="512"/>
      <c r="T113" s="512"/>
      <c r="U113" s="512"/>
      <c r="V113" s="512"/>
      <c r="W113" s="512"/>
      <c r="X113" s="512"/>
      <c r="Y113" s="512"/>
      <c r="Z113" s="512"/>
      <c r="AA113" s="512"/>
      <c r="AB113" s="512"/>
      <c r="AC113" s="512"/>
      <c r="AD113" s="512"/>
    </row>
    <row r="114" spans="5:30" s="1" customFormat="1" x14ac:dyDescent="0.25">
      <c r="E114" s="2"/>
      <c r="G114" s="512"/>
      <c r="H114" s="512"/>
      <c r="I114" s="512"/>
      <c r="O114" s="512"/>
      <c r="P114" s="512"/>
      <c r="Q114" s="512"/>
      <c r="R114" s="512"/>
      <c r="S114" s="512"/>
      <c r="T114" s="512"/>
      <c r="U114" s="512"/>
      <c r="V114" s="512"/>
      <c r="W114" s="512"/>
      <c r="X114" s="512"/>
      <c r="Y114" s="512"/>
      <c r="Z114" s="512"/>
      <c r="AA114" s="512"/>
      <c r="AB114" s="512"/>
      <c r="AC114" s="512"/>
      <c r="AD114" s="512"/>
    </row>
    <row r="115" spans="5:30" s="1" customFormat="1" x14ac:dyDescent="0.25">
      <c r="E115" s="2"/>
      <c r="G115" s="512"/>
      <c r="H115" s="512"/>
      <c r="I115" s="512"/>
      <c r="O115" s="512"/>
      <c r="P115" s="512"/>
      <c r="Q115" s="512"/>
      <c r="R115" s="512"/>
      <c r="S115" s="512"/>
      <c r="T115" s="512"/>
      <c r="U115" s="512"/>
      <c r="V115" s="512"/>
      <c r="W115" s="512"/>
      <c r="X115" s="512"/>
      <c r="Y115" s="512"/>
      <c r="Z115" s="512"/>
      <c r="AA115" s="512"/>
      <c r="AB115" s="512"/>
      <c r="AC115" s="512"/>
      <c r="AD115" s="512"/>
    </row>
    <row r="116" spans="5:30" s="1" customFormat="1" x14ac:dyDescent="0.25">
      <c r="E116" s="2"/>
      <c r="G116" s="512"/>
      <c r="H116" s="512"/>
      <c r="I116" s="512"/>
      <c r="O116" s="512"/>
      <c r="P116" s="512"/>
      <c r="Q116" s="512"/>
      <c r="R116" s="512"/>
      <c r="S116" s="512"/>
      <c r="T116" s="512"/>
      <c r="U116" s="512"/>
      <c r="V116" s="512"/>
      <c r="W116" s="512"/>
      <c r="X116" s="512"/>
      <c r="Y116" s="512"/>
      <c r="Z116" s="512"/>
      <c r="AA116" s="512"/>
      <c r="AB116" s="512"/>
      <c r="AC116" s="512"/>
      <c r="AD116" s="512"/>
    </row>
    <row r="117" spans="5:30" s="1" customFormat="1" x14ac:dyDescent="0.25">
      <c r="E117" s="2"/>
      <c r="G117" s="512"/>
      <c r="H117" s="512"/>
      <c r="I117" s="512"/>
      <c r="O117" s="512"/>
      <c r="P117" s="512"/>
      <c r="Q117" s="512"/>
      <c r="R117" s="512"/>
      <c r="S117" s="512"/>
      <c r="T117" s="512"/>
      <c r="U117" s="512"/>
      <c r="V117" s="512"/>
      <c r="W117" s="512"/>
      <c r="X117" s="512"/>
      <c r="Y117" s="512"/>
      <c r="Z117" s="512"/>
      <c r="AA117" s="512"/>
      <c r="AB117" s="512"/>
      <c r="AC117" s="512"/>
      <c r="AD117" s="512"/>
    </row>
    <row r="118" spans="5:30" s="1" customFormat="1" x14ac:dyDescent="0.25">
      <c r="E118" s="2"/>
      <c r="G118" s="512"/>
      <c r="H118" s="512"/>
      <c r="I118" s="512"/>
      <c r="O118" s="512"/>
      <c r="P118" s="512"/>
      <c r="Q118" s="512"/>
      <c r="R118" s="512"/>
      <c r="S118" s="512"/>
      <c r="T118" s="512"/>
      <c r="U118" s="512"/>
      <c r="V118" s="512"/>
      <c r="W118" s="512"/>
      <c r="X118" s="512"/>
      <c r="Y118" s="512"/>
      <c r="Z118" s="512"/>
      <c r="AA118" s="512"/>
      <c r="AB118" s="512"/>
      <c r="AC118" s="512"/>
      <c r="AD118" s="512"/>
    </row>
    <row r="119" spans="5:30" s="1" customFormat="1" x14ac:dyDescent="0.25">
      <c r="E119" s="2"/>
      <c r="G119" s="512"/>
      <c r="H119" s="512"/>
      <c r="I119" s="512"/>
      <c r="O119" s="512"/>
      <c r="P119" s="512"/>
      <c r="Q119" s="512"/>
      <c r="R119" s="512"/>
      <c r="S119" s="512"/>
      <c r="T119" s="512"/>
      <c r="U119" s="512"/>
      <c r="V119" s="512"/>
      <c r="W119" s="512"/>
      <c r="X119" s="512"/>
      <c r="Y119" s="512"/>
      <c r="Z119" s="512"/>
      <c r="AA119" s="512"/>
      <c r="AB119" s="512"/>
      <c r="AC119" s="512"/>
      <c r="AD119" s="512"/>
    </row>
    <row r="120" spans="5:30" s="1" customFormat="1" x14ac:dyDescent="0.25">
      <c r="E120" s="2"/>
      <c r="G120" s="512"/>
      <c r="H120" s="512"/>
      <c r="I120" s="512"/>
      <c r="O120" s="512"/>
      <c r="P120" s="512"/>
      <c r="Q120" s="512"/>
      <c r="R120" s="512"/>
      <c r="S120" s="512"/>
      <c r="T120" s="512"/>
      <c r="U120" s="512"/>
      <c r="V120" s="512"/>
      <c r="W120" s="512"/>
      <c r="X120" s="512"/>
      <c r="Y120" s="512"/>
      <c r="Z120" s="512"/>
      <c r="AA120" s="512"/>
      <c r="AB120" s="512"/>
      <c r="AC120" s="512"/>
      <c r="AD120" s="512"/>
    </row>
    <row r="121" spans="5:30" s="1" customFormat="1" x14ac:dyDescent="0.25">
      <c r="E121" s="2"/>
      <c r="G121" s="512"/>
      <c r="H121" s="512"/>
      <c r="I121" s="512"/>
      <c r="O121" s="512"/>
      <c r="P121" s="512"/>
      <c r="Q121" s="512"/>
      <c r="R121" s="512"/>
      <c r="S121" s="512"/>
      <c r="T121" s="512"/>
      <c r="U121" s="512"/>
      <c r="V121" s="512"/>
      <c r="W121" s="512"/>
      <c r="X121" s="512"/>
      <c r="Y121" s="512"/>
      <c r="Z121" s="512"/>
      <c r="AA121" s="512"/>
      <c r="AB121" s="512"/>
      <c r="AC121" s="512"/>
      <c r="AD121" s="512"/>
    </row>
    <row r="122" spans="5:30" s="1" customFormat="1" x14ac:dyDescent="0.25">
      <c r="E122" s="2"/>
      <c r="G122" s="512"/>
      <c r="H122" s="512"/>
      <c r="I122" s="512"/>
      <c r="O122" s="512"/>
      <c r="P122" s="512"/>
      <c r="Q122" s="512"/>
      <c r="R122" s="512"/>
      <c r="S122" s="512"/>
      <c r="T122" s="512"/>
      <c r="U122" s="512"/>
      <c r="V122" s="512"/>
      <c r="W122" s="512"/>
      <c r="X122" s="512"/>
      <c r="Y122" s="512"/>
      <c r="Z122" s="512"/>
      <c r="AA122" s="512"/>
      <c r="AB122" s="512"/>
      <c r="AC122" s="512"/>
      <c r="AD122" s="512"/>
    </row>
    <row r="123" spans="5:30" s="1" customFormat="1" x14ac:dyDescent="0.25">
      <c r="E123" s="2"/>
      <c r="G123" s="512"/>
      <c r="H123" s="512"/>
      <c r="I123" s="512"/>
      <c r="O123" s="512"/>
      <c r="P123" s="512"/>
      <c r="Q123" s="512"/>
      <c r="R123" s="512"/>
      <c r="S123" s="512"/>
      <c r="T123" s="512"/>
      <c r="U123" s="512"/>
      <c r="V123" s="512"/>
      <c r="W123" s="512"/>
      <c r="X123" s="512"/>
      <c r="Y123" s="512"/>
      <c r="Z123" s="512"/>
      <c r="AA123" s="512"/>
      <c r="AB123" s="512"/>
      <c r="AC123" s="512"/>
      <c r="AD123" s="512"/>
    </row>
    <row r="124" spans="5:30" s="1" customFormat="1" x14ac:dyDescent="0.25">
      <c r="E124" s="2"/>
      <c r="G124" s="512"/>
      <c r="H124" s="512"/>
      <c r="I124" s="512"/>
      <c r="O124" s="512"/>
      <c r="P124" s="512"/>
      <c r="Q124" s="512"/>
      <c r="R124" s="512"/>
      <c r="S124" s="512"/>
      <c r="T124" s="512"/>
      <c r="U124" s="512"/>
      <c r="V124" s="512"/>
      <c r="W124" s="512"/>
      <c r="X124" s="512"/>
      <c r="Y124" s="512"/>
      <c r="Z124" s="512"/>
      <c r="AA124" s="512"/>
      <c r="AB124" s="512"/>
      <c r="AC124" s="512"/>
      <c r="AD124" s="512"/>
    </row>
    <row r="125" spans="5:30" s="1" customFormat="1" x14ac:dyDescent="0.25">
      <c r="E125" s="2"/>
      <c r="G125" s="512"/>
      <c r="H125" s="512"/>
      <c r="I125" s="512"/>
      <c r="O125" s="512"/>
      <c r="P125" s="512"/>
      <c r="Q125" s="512"/>
      <c r="R125" s="512"/>
      <c r="S125" s="512"/>
      <c r="T125" s="512"/>
      <c r="U125" s="512"/>
      <c r="V125" s="512"/>
      <c r="W125" s="512"/>
      <c r="X125" s="512"/>
      <c r="Y125" s="512"/>
      <c r="Z125" s="512"/>
      <c r="AA125" s="512"/>
      <c r="AB125" s="512"/>
      <c r="AC125" s="512"/>
      <c r="AD125" s="512"/>
    </row>
    <row r="126" spans="5:30" s="1" customFormat="1" x14ac:dyDescent="0.25">
      <c r="E126" s="2"/>
      <c r="G126" s="512"/>
      <c r="H126" s="512"/>
      <c r="I126" s="512"/>
      <c r="O126" s="512"/>
      <c r="P126" s="512"/>
      <c r="Q126" s="512"/>
      <c r="R126" s="512"/>
      <c r="S126" s="512"/>
      <c r="T126" s="512"/>
      <c r="U126" s="512"/>
      <c r="V126" s="512"/>
      <c r="W126" s="512"/>
      <c r="X126" s="512"/>
      <c r="Y126" s="512"/>
      <c r="Z126" s="512"/>
      <c r="AA126" s="512"/>
      <c r="AB126" s="512"/>
      <c r="AC126" s="512"/>
      <c r="AD126" s="512"/>
    </row>
    <row r="127" spans="5:30" s="1" customFormat="1" x14ac:dyDescent="0.25">
      <c r="E127" s="2"/>
      <c r="G127" s="512"/>
      <c r="H127" s="512"/>
      <c r="I127" s="512"/>
      <c r="O127" s="512"/>
      <c r="P127" s="512"/>
      <c r="Q127" s="512"/>
      <c r="R127" s="512"/>
      <c r="S127" s="512"/>
      <c r="T127" s="512"/>
      <c r="U127" s="512"/>
      <c r="V127" s="512"/>
      <c r="W127" s="512"/>
      <c r="X127" s="512"/>
      <c r="Y127" s="512"/>
      <c r="Z127" s="512"/>
      <c r="AA127" s="512"/>
      <c r="AB127" s="512"/>
      <c r="AC127" s="512"/>
      <c r="AD127" s="512"/>
    </row>
    <row r="128" spans="5:30" s="1" customFormat="1" x14ac:dyDescent="0.25">
      <c r="E128" s="2"/>
      <c r="G128" s="512"/>
      <c r="H128" s="512"/>
      <c r="I128" s="512"/>
      <c r="O128" s="512"/>
      <c r="P128" s="512"/>
      <c r="Q128" s="512"/>
      <c r="R128" s="512"/>
      <c r="S128" s="512"/>
      <c r="T128" s="512"/>
      <c r="U128" s="512"/>
      <c r="V128" s="512"/>
      <c r="W128" s="512"/>
      <c r="X128" s="512"/>
      <c r="Y128" s="512"/>
      <c r="Z128" s="512"/>
      <c r="AA128" s="512"/>
      <c r="AB128" s="512"/>
      <c r="AC128" s="512"/>
      <c r="AD128" s="512"/>
    </row>
    <row r="129" spans="5:30" s="1" customFormat="1" x14ac:dyDescent="0.25">
      <c r="E129" s="2"/>
      <c r="G129" s="512"/>
      <c r="H129" s="512"/>
      <c r="I129" s="512"/>
      <c r="O129" s="512"/>
      <c r="P129" s="512"/>
      <c r="Q129" s="512"/>
      <c r="R129" s="512"/>
      <c r="S129" s="512"/>
      <c r="T129" s="512"/>
      <c r="U129" s="512"/>
      <c r="V129" s="512"/>
      <c r="W129" s="512"/>
      <c r="X129" s="512"/>
      <c r="Y129" s="512"/>
      <c r="Z129" s="512"/>
      <c r="AA129" s="512"/>
      <c r="AB129" s="512"/>
      <c r="AC129" s="512"/>
      <c r="AD129" s="512"/>
    </row>
    <row r="130" spans="5:30" s="1" customFormat="1" x14ac:dyDescent="0.25">
      <c r="E130" s="2"/>
      <c r="G130" s="512"/>
      <c r="H130" s="512"/>
      <c r="I130" s="512"/>
      <c r="O130" s="512"/>
      <c r="P130" s="512"/>
      <c r="Q130" s="512"/>
      <c r="R130" s="512"/>
      <c r="S130" s="512"/>
      <c r="T130" s="512"/>
      <c r="U130" s="512"/>
      <c r="V130" s="512"/>
      <c r="W130" s="512"/>
      <c r="X130" s="512"/>
      <c r="Y130" s="512"/>
      <c r="Z130" s="512"/>
      <c r="AA130" s="512"/>
      <c r="AB130" s="512"/>
      <c r="AC130" s="512"/>
      <c r="AD130" s="512"/>
    </row>
    <row r="131" spans="5:30" s="1" customFormat="1" x14ac:dyDescent="0.25">
      <c r="E131" s="2"/>
      <c r="G131" s="512"/>
      <c r="H131" s="512"/>
      <c r="I131" s="512"/>
      <c r="O131" s="512"/>
      <c r="P131" s="512"/>
      <c r="Q131" s="512"/>
      <c r="R131" s="512"/>
      <c r="S131" s="512"/>
      <c r="T131" s="512"/>
      <c r="U131" s="512"/>
      <c r="V131" s="512"/>
      <c r="W131" s="512"/>
      <c r="X131" s="512"/>
      <c r="Y131" s="512"/>
      <c r="Z131" s="512"/>
      <c r="AA131" s="512"/>
      <c r="AB131" s="512"/>
      <c r="AC131" s="512"/>
      <c r="AD131" s="512"/>
    </row>
    <row r="132" spans="5:30" s="1" customFormat="1" x14ac:dyDescent="0.25">
      <c r="E132" s="2"/>
      <c r="G132" s="512"/>
      <c r="H132" s="512"/>
      <c r="I132" s="512"/>
      <c r="O132" s="512"/>
      <c r="P132" s="512"/>
      <c r="Q132" s="512"/>
      <c r="R132" s="512"/>
      <c r="S132" s="512"/>
      <c r="T132" s="512"/>
      <c r="U132" s="512"/>
      <c r="V132" s="512"/>
      <c r="W132" s="512"/>
      <c r="X132" s="512"/>
      <c r="Y132" s="512"/>
      <c r="Z132" s="512"/>
      <c r="AA132" s="512"/>
      <c r="AB132" s="512"/>
      <c r="AC132" s="512"/>
      <c r="AD132" s="512"/>
    </row>
    <row r="133" spans="5:30" s="1" customFormat="1" x14ac:dyDescent="0.25">
      <c r="E133" s="2"/>
      <c r="G133" s="512"/>
      <c r="H133" s="512"/>
      <c r="I133" s="512"/>
      <c r="O133" s="512"/>
      <c r="P133" s="512"/>
      <c r="Q133" s="512"/>
      <c r="R133" s="512"/>
      <c r="S133" s="512"/>
      <c r="T133" s="512"/>
      <c r="U133" s="512"/>
      <c r="V133" s="512"/>
      <c r="W133" s="512"/>
      <c r="X133" s="512"/>
      <c r="Y133" s="512"/>
      <c r="Z133" s="512"/>
      <c r="AA133" s="512"/>
      <c r="AB133" s="512"/>
      <c r="AC133" s="512"/>
      <c r="AD133" s="512"/>
    </row>
    <row r="134" spans="5:30" s="1" customFormat="1" x14ac:dyDescent="0.25">
      <c r="E134" s="2"/>
      <c r="G134" s="512"/>
      <c r="H134" s="512"/>
      <c r="I134" s="512"/>
      <c r="O134" s="512"/>
      <c r="P134" s="512"/>
      <c r="Q134" s="512"/>
      <c r="R134" s="512"/>
      <c r="S134" s="512"/>
      <c r="T134" s="512"/>
      <c r="U134" s="512"/>
      <c r="V134" s="512"/>
      <c r="W134" s="512"/>
      <c r="X134" s="512"/>
      <c r="Y134" s="512"/>
      <c r="Z134" s="512"/>
      <c r="AA134" s="512"/>
      <c r="AB134" s="512"/>
      <c r="AC134" s="512"/>
      <c r="AD134" s="512"/>
    </row>
    <row r="135" spans="5:30" s="1" customFormat="1" x14ac:dyDescent="0.25">
      <c r="E135" s="2"/>
      <c r="G135" s="512"/>
      <c r="H135" s="512"/>
      <c r="I135" s="512"/>
      <c r="O135" s="512"/>
      <c r="P135" s="512"/>
      <c r="Q135" s="512"/>
      <c r="R135" s="512"/>
      <c r="S135" s="512"/>
      <c r="T135" s="512"/>
      <c r="U135" s="512"/>
      <c r="V135" s="512"/>
      <c r="W135" s="512"/>
      <c r="X135" s="512"/>
      <c r="Y135" s="512"/>
      <c r="Z135" s="512"/>
      <c r="AA135" s="512"/>
      <c r="AB135" s="512"/>
      <c r="AC135" s="512"/>
      <c r="AD135" s="512"/>
    </row>
    <row r="136" spans="5:30" s="1" customFormat="1" x14ac:dyDescent="0.25">
      <c r="E136" s="2"/>
      <c r="G136" s="512"/>
      <c r="H136" s="512"/>
      <c r="I136" s="512"/>
      <c r="O136" s="512"/>
      <c r="P136" s="512"/>
      <c r="Q136" s="512"/>
      <c r="R136" s="512"/>
      <c r="S136" s="512"/>
      <c r="T136" s="512"/>
      <c r="U136" s="512"/>
      <c r="V136" s="512"/>
      <c r="W136" s="512"/>
      <c r="X136" s="512"/>
      <c r="Y136" s="512"/>
      <c r="Z136" s="512"/>
      <c r="AA136" s="512"/>
      <c r="AB136" s="512"/>
      <c r="AC136" s="512"/>
      <c r="AD136" s="512"/>
    </row>
    <row r="137" spans="5:30" s="1" customFormat="1" x14ac:dyDescent="0.25">
      <c r="E137" s="2"/>
      <c r="G137" s="512"/>
      <c r="H137" s="512"/>
      <c r="I137" s="512"/>
      <c r="O137" s="512"/>
      <c r="P137" s="512"/>
      <c r="Q137" s="512"/>
      <c r="R137" s="512"/>
      <c r="S137" s="512"/>
      <c r="T137" s="512"/>
      <c r="U137" s="512"/>
      <c r="V137" s="512"/>
      <c r="W137" s="512"/>
      <c r="X137" s="512"/>
      <c r="Y137" s="512"/>
      <c r="Z137" s="512"/>
      <c r="AA137" s="512"/>
      <c r="AB137" s="512"/>
      <c r="AC137" s="512"/>
      <c r="AD137" s="512"/>
    </row>
    <row r="138" spans="5:30" s="1" customFormat="1" x14ac:dyDescent="0.25">
      <c r="E138" s="2"/>
      <c r="G138" s="512"/>
      <c r="H138" s="512"/>
      <c r="I138" s="512"/>
      <c r="O138" s="512"/>
      <c r="P138" s="512"/>
      <c r="Q138" s="512"/>
      <c r="R138" s="512"/>
      <c r="S138" s="512"/>
      <c r="T138" s="512"/>
      <c r="U138" s="512"/>
      <c r="V138" s="512"/>
      <c r="W138" s="512"/>
      <c r="X138" s="512"/>
      <c r="Y138" s="512"/>
      <c r="Z138" s="512"/>
      <c r="AA138" s="512"/>
      <c r="AB138" s="512"/>
      <c r="AC138" s="512"/>
      <c r="AD138" s="512"/>
    </row>
    <row r="139" spans="5:30" s="1" customFormat="1" x14ac:dyDescent="0.25">
      <c r="E139" s="2"/>
      <c r="G139" s="512"/>
      <c r="H139" s="512"/>
      <c r="I139" s="512"/>
      <c r="O139" s="512"/>
      <c r="P139" s="512"/>
      <c r="Q139" s="512"/>
      <c r="R139" s="512"/>
      <c r="S139" s="512"/>
      <c r="T139" s="512"/>
      <c r="U139" s="512"/>
      <c r="V139" s="512"/>
      <c r="W139" s="512"/>
      <c r="X139" s="512"/>
      <c r="Y139" s="512"/>
      <c r="Z139" s="512"/>
      <c r="AA139" s="512"/>
      <c r="AB139" s="512"/>
      <c r="AC139" s="512"/>
      <c r="AD139" s="512"/>
    </row>
    <row r="140" spans="5:30" s="1" customFormat="1" x14ac:dyDescent="0.25">
      <c r="E140" s="2"/>
      <c r="G140" s="512"/>
      <c r="H140" s="512"/>
      <c r="I140" s="512"/>
      <c r="O140" s="512"/>
      <c r="P140" s="512"/>
      <c r="Q140" s="512"/>
      <c r="R140" s="512"/>
      <c r="S140" s="512"/>
      <c r="T140" s="512"/>
      <c r="U140" s="512"/>
      <c r="V140" s="512"/>
      <c r="W140" s="512"/>
      <c r="X140" s="512"/>
      <c r="Y140" s="512"/>
      <c r="Z140" s="512"/>
      <c r="AA140" s="512"/>
      <c r="AB140" s="512"/>
      <c r="AC140" s="512"/>
      <c r="AD140" s="512"/>
    </row>
    <row r="141" spans="5:30" s="1" customFormat="1" x14ac:dyDescent="0.25">
      <c r="E141" s="2"/>
      <c r="G141" s="512"/>
      <c r="H141" s="512"/>
      <c r="I141" s="512"/>
      <c r="O141" s="512"/>
      <c r="P141" s="512"/>
      <c r="Q141" s="512"/>
      <c r="R141" s="512"/>
      <c r="S141" s="512"/>
      <c r="T141" s="512"/>
      <c r="U141" s="512"/>
      <c r="V141" s="512"/>
      <c r="W141" s="512"/>
      <c r="X141" s="512"/>
      <c r="Y141" s="512"/>
      <c r="Z141" s="512"/>
      <c r="AA141" s="512"/>
      <c r="AB141" s="512"/>
      <c r="AC141" s="512"/>
      <c r="AD141" s="512"/>
    </row>
    <row r="142" spans="5:30" s="1" customFormat="1" x14ac:dyDescent="0.25">
      <c r="E142" s="2"/>
      <c r="G142" s="512"/>
      <c r="H142" s="512"/>
      <c r="I142" s="512"/>
      <c r="O142" s="512"/>
      <c r="P142" s="512"/>
      <c r="Q142" s="512"/>
      <c r="R142" s="512"/>
      <c r="S142" s="512"/>
      <c r="T142" s="512"/>
      <c r="U142" s="512"/>
      <c r="V142" s="512"/>
      <c r="W142" s="512"/>
      <c r="X142" s="512"/>
      <c r="Y142" s="512"/>
      <c r="Z142" s="512"/>
      <c r="AA142" s="512"/>
      <c r="AB142" s="512"/>
      <c r="AC142" s="512"/>
      <c r="AD142" s="512"/>
    </row>
    <row r="143" spans="5:30" s="1" customFormat="1" x14ac:dyDescent="0.25">
      <c r="E143" s="2"/>
      <c r="G143" s="512"/>
      <c r="H143" s="512"/>
      <c r="I143" s="512"/>
      <c r="O143" s="512"/>
      <c r="P143" s="512"/>
      <c r="Q143" s="512"/>
      <c r="R143" s="512"/>
      <c r="S143" s="512"/>
      <c r="T143" s="512"/>
      <c r="U143" s="512"/>
      <c r="V143" s="512"/>
      <c r="W143" s="512"/>
      <c r="X143" s="512"/>
      <c r="Y143" s="512"/>
      <c r="Z143" s="512"/>
      <c r="AA143" s="512"/>
      <c r="AB143" s="512"/>
      <c r="AC143" s="512"/>
      <c r="AD143" s="512"/>
    </row>
    <row r="144" spans="5:30" s="1" customFormat="1" x14ac:dyDescent="0.25">
      <c r="E144" s="2"/>
      <c r="G144" s="512"/>
      <c r="H144" s="512"/>
      <c r="I144" s="512"/>
      <c r="O144" s="512"/>
      <c r="P144" s="512"/>
      <c r="Q144" s="512"/>
      <c r="R144" s="512"/>
      <c r="S144" s="512"/>
      <c r="T144" s="512"/>
      <c r="U144" s="512"/>
      <c r="V144" s="512"/>
      <c r="W144" s="512"/>
      <c r="X144" s="512"/>
      <c r="Y144" s="512"/>
      <c r="Z144" s="512"/>
      <c r="AA144" s="512"/>
      <c r="AB144" s="512"/>
      <c r="AC144" s="512"/>
      <c r="AD144" s="512"/>
    </row>
    <row r="145" spans="5:30" s="1" customFormat="1" x14ac:dyDescent="0.25">
      <c r="E145" s="2"/>
      <c r="G145" s="512"/>
      <c r="H145" s="512"/>
      <c r="I145" s="512"/>
      <c r="O145" s="512"/>
      <c r="P145" s="512"/>
      <c r="Q145" s="512"/>
      <c r="R145" s="512"/>
      <c r="S145" s="512"/>
      <c r="T145" s="512"/>
      <c r="U145" s="512"/>
      <c r="V145" s="512"/>
      <c r="W145" s="512"/>
      <c r="X145" s="512"/>
      <c r="Y145" s="512"/>
      <c r="Z145" s="512"/>
      <c r="AA145" s="512"/>
      <c r="AB145" s="512"/>
      <c r="AC145" s="512"/>
      <c r="AD145" s="512"/>
    </row>
    <row r="146" spans="5:30" s="1" customFormat="1" x14ac:dyDescent="0.25">
      <c r="E146" s="2"/>
      <c r="G146" s="512"/>
      <c r="H146" s="512"/>
      <c r="I146" s="512"/>
      <c r="O146" s="512"/>
      <c r="P146" s="512"/>
      <c r="Q146" s="512"/>
      <c r="R146" s="512"/>
      <c r="S146" s="512"/>
      <c r="T146" s="512"/>
      <c r="U146" s="512"/>
      <c r="V146" s="512"/>
      <c r="W146" s="512"/>
      <c r="X146" s="512"/>
      <c r="Y146" s="512"/>
      <c r="Z146" s="512"/>
      <c r="AA146" s="512"/>
      <c r="AB146" s="512"/>
      <c r="AC146" s="512"/>
      <c r="AD146" s="512"/>
    </row>
    <row r="147" spans="5:30" s="1" customFormat="1" x14ac:dyDescent="0.25">
      <c r="E147" s="2"/>
      <c r="G147" s="512"/>
      <c r="H147" s="512"/>
      <c r="I147" s="512"/>
      <c r="O147" s="512"/>
      <c r="P147" s="512"/>
      <c r="Q147" s="512"/>
      <c r="R147" s="512"/>
      <c r="S147" s="512"/>
      <c r="T147" s="512"/>
      <c r="U147" s="512"/>
      <c r="V147" s="512"/>
      <c r="W147" s="512"/>
      <c r="X147" s="512"/>
      <c r="Y147" s="512"/>
      <c r="Z147" s="512"/>
      <c r="AA147" s="512"/>
      <c r="AB147" s="512"/>
      <c r="AC147" s="512"/>
      <c r="AD147" s="512"/>
    </row>
    <row r="148" spans="5:30" s="1" customFormat="1" x14ac:dyDescent="0.25">
      <c r="E148" s="2"/>
      <c r="G148" s="512"/>
      <c r="H148" s="512"/>
      <c r="I148" s="512"/>
      <c r="O148" s="512"/>
      <c r="P148" s="512"/>
      <c r="Q148" s="512"/>
      <c r="R148" s="512"/>
      <c r="S148" s="512"/>
      <c r="T148" s="512"/>
      <c r="U148" s="512"/>
      <c r="V148" s="512"/>
      <c r="W148" s="512"/>
      <c r="X148" s="512"/>
      <c r="Y148" s="512"/>
      <c r="Z148" s="512"/>
      <c r="AA148" s="512"/>
      <c r="AB148" s="512"/>
      <c r="AC148" s="512"/>
      <c r="AD148" s="512"/>
    </row>
    <row r="149" spans="5:30" s="1" customFormat="1" x14ac:dyDescent="0.25">
      <c r="E149" s="2"/>
      <c r="G149" s="512"/>
      <c r="H149" s="512"/>
      <c r="I149" s="512"/>
      <c r="O149" s="512"/>
      <c r="P149" s="512"/>
      <c r="Q149" s="512"/>
      <c r="R149" s="512"/>
      <c r="S149" s="512"/>
      <c r="T149" s="512"/>
      <c r="U149" s="512"/>
      <c r="V149" s="512"/>
      <c r="W149" s="512"/>
      <c r="X149" s="512"/>
      <c r="Y149" s="512"/>
      <c r="Z149" s="512"/>
      <c r="AA149" s="512"/>
      <c r="AB149" s="512"/>
      <c r="AC149" s="512"/>
      <c r="AD149" s="512"/>
    </row>
    <row r="150" spans="5:30" s="1" customFormat="1" x14ac:dyDescent="0.25">
      <c r="E150" s="2"/>
      <c r="G150" s="512"/>
      <c r="H150" s="512"/>
      <c r="I150" s="512"/>
      <c r="O150" s="512"/>
      <c r="P150" s="512"/>
      <c r="Q150" s="512"/>
      <c r="R150" s="512"/>
      <c r="S150" s="512"/>
      <c r="T150" s="512"/>
      <c r="U150" s="512"/>
      <c r="V150" s="512"/>
      <c r="W150" s="512"/>
      <c r="X150" s="512"/>
      <c r="Y150" s="512"/>
      <c r="Z150" s="512"/>
      <c r="AA150" s="512"/>
      <c r="AB150" s="512"/>
      <c r="AC150" s="512"/>
      <c r="AD150" s="512"/>
    </row>
    <row r="151" spans="5:30" s="1" customFormat="1" x14ac:dyDescent="0.25">
      <c r="E151" s="2"/>
      <c r="G151" s="512"/>
      <c r="H151" s="512"/>
      <c r="I151" s="512"/>
      <c r="O151" s="512"/>
      <c r="P151" s="512"/>
      <c r="Q151" s="512"/>
      <c r="R151" s="512"/>
      <c r="S151" s="512"/>
      <c r="T151" s="512"/>
      <c r="U151" s="512"/>
      <c r="V151" s="512"/>
      <c r="W151" s="512"/>
      <c r="X151" s="512"/>
      <c r="Y151" s="512"/>
      <c r="Z151" s="512"/>
      <c r="AA151" s="512"/>
      <c r="AB151" s="512"/>
      <c r="AC151" s="512"/>
      <c r="AD151" s="512"/>
    </row>
    <row r="152" spans="5:30" s="1" customFormat="1" x14ac:dyDescent="0.25">
      <c r="E152" s="2"/>
      <c r="G152" s="512"/>
      <c r="H152" s="512"/>
      <c r="I152" s="512"/>
      <c r="O152" s="512"/>
      <c r="P152" s="512"/>
      <c r="Q152" s="512"/>
      <c r="R152" s="512"/>
      <c r="S152" s="512"/>
      <c r="T152" s="512"/>
      <c r="U152" s="512"/>
      <c r="V152" s="512"/>
      <c r="W152" s="512"/>
      <c r="X152" s="512"/>
      <c r="Y152" s="512"/>
      <c r="Z152" s="512"/>
      <c r="AA152" s="512"/>
      <c r="AB152" s="512"/>
      <c r="AC152" s="512"/>
      <c r="AD152" s="512"/>
    </row>
    <row r="153" spans="5:30" s="1" customFormat="1" x14ac:dyDescent="0.25">
      <c r="E153" s="2"/>
      <c r="G153" s="512"/>
      <c r="H153" s="512"/>
      <c r="I153" s="512"/>
      <c r="O153" s="512"/>
      <c r="P153" s="512"/>
      <c r="Q153" s="512"/>
      <c r="R153" s="512"/>
      <c r="S153" s="512"/>
      <c r="T153" s="512"/>
      <c r="U153" s="512"/>
      <c r="V153" s="512"/>
      <c r="W153" s="512"/>
      <c r="X153" s="512"/>
      <c r="Y153" s="512"/>
      <c r="Z153" s="512"/>
      <c r="AA153" s="512"/>
      <c r="AB153" s="512"/>
      <c r="AC153" s="512"/>
      <c r="AD153" s="512"/>
    </row>
    <row r="154" spans="5:30" s="1" customFormat="1" x14ac:dyDescent="0.25">
      <c r="E154" s="2"/>
      <c r="G154" s="512"/>
      <c r="H154" s="512"/>
      <c r="I154" s="512"/>
      <c r="O154" s="512"/>
      <c r="P154" s="512"/>
      <c r="Q154" s="512"/>
      <c r="R154" s="512"/>
      <c r="S154" s="512"/>
      <c r="T154" s="512"/>
      <c r="U154" s="512"/>
      <c r="V154" s="512"/>
      <c r="W154" s="512"/>
      <c r="X154" s="512"/>
      <c r="Y154" s="512"/>
      <c r="Z154" s="512"/>
      <c r="AA154" s="512"/>
      <c r="AB154" s="512"/>
      <c r="AC154" s="512"/>
      <c r="AD154" s="512"/>
    </row>
    <row r="155" spans="5:30" s="1" customFormat="1" x14ac:dyDescent="0.25">
      <c r="E155" s="2"/>
      <c r="G155" s="512"/>
      <c r="H155" s="512"/>
      <c r="I155" s="512"/>
      <c r="O155" s="512"/>
      <c r="P155" s="512"/>
      <c r="Q155" s="512"/>
      <c r="R155" s="512"/>
      <c r="S155" s="512"/>
      <c r="T155" s="512"/>
      <c r="U155" s="512"/>
      <c r="V155" s="512"/>
      <c r="W155" s="512"/>
      <c r="X155" s="512"/>
      <c r="Y155" s="512"/>
      <c r="Z155" s="512"/>
      <c r="AA155" s="512"/>
      <c r="AB155" s="512"/>
      <c r="AC155" s="512"/>
      <c r="AD155" s="512"/>
    </row>
    <row r="156" spans="5:30" s="1" customFormat="1" x14ac:dyDescent="0.25">
      <c r="E156" s="2"/>
      <c r="G156" s="512"/>
      <c r="H156" s="512"/>
      <c r="I156" s="512"/>
      <c r="O156" s="512"/>
      <c r="P156" s="512"/>
      <c r="Q156" s="512"/>
      <c r="R156" s="512"/>
      <c r="S156" s="512"/>
      <c r="T156" s="512"/>
      <c r="U156" s="512"/>
      <c r="V156" s="512"/>
      <c r="W156" s="512"/>
      <c r="X156" s="512"/>
      <c r="Y156" s="512"/>
      <c r="Z156" s="512"/>
      <c r="AA156" s="512"/>
      <c r="AB156" s="512"/>
      <c r="AC156" s="512"/>
      <c r="AD156" s="512"/>
    </row>
    <row r="157" spans="5:30" s="1" customFormat="1" x14ac:dyDescent="0.25">
      <c r="E157" s="2"/>
      <c r="G157" s="512"/>
      <c r="H157" s="512"/>
      <c r="I157" s="512"/>
      <c r="O157" s="512"/>
      <c r="P157" s="512"/>
      <c r="Q157" s="512"/>
      <c r="R157" s="512"/>
      <c r="S157" s="512"/>
      <c r="T157" s="512"/>
      <c r="U157" s="512"/>
      <c r="V157" s="512"/>
      <c r="W157" s="512"/>
      <c r="X157" s="512"/>
      <c r="Y157" s="512"/>
      <c r="Z157" s="512"/>
      <c r="AA157" s="512"/>
      <c r="AB157" s="512"/>
      <c r="AC157" s="512"/>
      <c r="AD157" s="512"/>
    </row>
    <row r="158" spans="5:30" s="1" customFormat="1" x14ac:dyDescent="0.25">
      <c r="E158" s="2"/>
      <c r="G158" s="512"/>
      <c r="H158" s="512"/>
      <c r="I158" s="512"/>
      <c r="O158" s="512"/>
      <c r="P158" s="512"/>
      <c r="Q158" s="512"/>
      <c r="R158" s="512"/>
      <c r="S158" s="512"/>
      <c r="T158" s="512"/>
      <c r="U158" s="512"/>
      <c r="V158" s="512"/>
      <c r="W158" s="512"/>
      <c r="X158" s="512"/>
      <c r="Y158" s="512"/>
      <c r="Z158" s="512"/>
      <c r="AA158" s="512"/>
      <c r="AB158" s="512"/>
      <c r="AC158" s="512"/>
      <c r="AD158" s="512"/>
    </row>
    <row r="159" spans="5:30" s="1" customFormat="1" x14ac:dyDescent="0.25">
      <c r="E159" s="2"/>
      <c r="G159" s="512"/>
      <c r="H159" s="512"/>
      <c r="I159" s="512"/>
      <c r="O159" s="512"/>
      <c r="P159" s="512"/>
      <c r="Q159" s="512"/>
      <c r="R159" s="512"/>
      <c r="S159" s="512"/>
      <c r="T159" s="512"/>
      <c r="U159" s="512"/>
      <c r="V159" s="512"/>
      <c r="W159" s="512"/>
      <c r="X159" s="512"/>
      <c r="Y159" s="512"/>
      <c r="Z159" s="512"/>
      <c r="AA159" s="512"/>
      <c r="AB159" s="512"/>
      <c r="AC159" s="512"/>
      <c r="AD159" s="512"/>
    </row>
    <row r="160" spans="5:30" s="1" customFormat="1" x14ac:dyDescent="0.25">
      <c r="E160" s="2"/>
      <c r="G160" s="512"/>
      <c r="H160" s="512"/>
      <c r="I160" s="512"/>
      <c r="O160" s="512"/>
      <c r="P160" s="512"/>
      <c r="Q160" s="512"/>
      <c r="R160" s="512"/>
      <c r="S160" s="512"/>
      <c r="T160" s="512"/>
      <c r="U160" s="512"/>
      <c r="V160" s="512"/>
      <c r="W160" s="512"/>
      <c r="X160" s="512"/>
      <c r="Y160" s="512"/>
      <c r="Z160" s="512"/>
      <c r="AA160" s="512"/>
      <c r="AB160" s="512"/>
      <c r="AC160" s="512"/>
      <c r="AD160" s="512"/>
    </row>
    <row r="161" spans="5:30" s="1" customFormat="1" x14ac:dyDescent="0.25">
      <c r="E161" s="2"/>
      <c r="G161" s="512"/>
      <c r="H161" s="512"/>
      <c r="I161" s="512"/>
      <c r="O161" s="512"/>
      <c r="P161" s="512"/>
      <c r="Q161" s="512"/>
      <c r="R161" s="512"/>
      <c r="S161" s="512"/>
      <c r="T161" s="512"/>
      <c r="U161" s="512"/>
      <c r="V161" s="512"/>
      <c r="W161" s="512"/>
      <c r="X161" s="512"/>
      <c r="Y161" s="512"/>
      <c r="Z161" s="512"/>
      <c r="AA161" s="512"/>
      <c r="AB161" s="512"/>
      <c r="AC161" s="512"/>
      <c r="AD161" s="512"/>
    </row>
    <row r="162" spans="5:30" s="1" customFormat="1" x14ac:dyDescent="0.25">
      <c r="E162" s="2"/>
      <c r="G162" s="512"/>
      <c r="H162" s="512"/>
      <c r="I162" s="512"/>
      <c r="O162" s="512"/>
      <c r="P162" s="512"/>
      <c r="Q162" s="512"/>
      <c r="R162" s="512"/>
      <c r="S162" s="512"/>
      <c r="T162" s="512"/>
      <c r="U162" s="512"/>
      <c r="V162" s="512"/>
      <c r="W162" s="512"/>
      <c r="X162" s="512"/>
      <c r="Y162" s="512"/>
      <c r="Z162" s="512"/>
      <c r="AA162" s="512"/>
      <c r="AB162" s="512"/>
      <c r="AC162" s="512"/>
      <c r="AD162" s="512"/>
    </row>
    <row r="163" spans="5:30" s="1" customFormat="1" x14ac:dyDescent="0.25">
      <c r="E163" s="2"/>
      <c r="G163" s="512"/>
      <c r="H163" s="512"/>
      <c r="I163" s="512"/>
      <c r="O163" s="512"/>
      <c r="P163" s="512"/>
      <c r="Q163" s="512"/>
      <c r="R163" s="512"/>
      <c r="S163" s="512"/>
      <c r="T163" s="512"/>
      <c r="U163" s="512"/>
      <c r="V163" s="512"/>
      <c r="W163" s="512"/>
      <c r="X163" s="512"/>
      <c r="Y163" s="512"/>
      <c r="Z163" s="512"/>
      <c r="AA163" s="512"/>
      <c r="AB163" s="512"/>
      <c r="AC163" s="512"/>
      <c r="AD163" s="512"/>
    </row>
    <row r="164" spans="5:30" s="1" customFormat="1" x14ac:dyDescent="0.25">
      <c r="E164" s="2"/>
      <c r="G164" s="512"/>
      <c r="H164" s="512"/>
      <c r="I164" s="512"/>
      <c r="O164" s="512"/>
      <c r="P164" s="512"/>
      <c r="Q164" s="512"/>
      <c r="R164" s="512"/>
      <c r="S164" s="512"/>
      <c r="T164" s="512"/>
      <c r="U164" s="512"/>
      <c r="V164" s="512"/>
      <c r="W164" s="512"/>
      <c r="X164" s="512"/>
      <c r="Y164" s="512"/>
      <c r="Z164" s="512"/>
      <c r="AA164" s="512"/>
      <c r="AB164" s="512"/>
      <c r="AC164" s="512"/>
      <c r="AD164" s="512"/>
    </row>
    <row r="165" spans="5:30" s="1" customFormat="1" x14ac:dyDescent="0.25">
      <c r="E165" s="2"/>
      <c r="G165" s="512"/>
      <c r="H165" s="512"/>
      <c r="I165" s="512"/>
      <c r="O165" s="512"/>
      <c r="P165" s="512"/>
      <c r="Q165" s="512"/>
      <c r="R165" s="512"/>
      <c r="S165" s="512"/>
      <c r="T165" s="512"/>
      <c r="U165" s="512"/>
      <c r="V165" s="512"/>
      <c r="W165" s="512"/>
      <c r="X165" s="512"/>
      <c r="Y165" s="512"/>
      <c r="Z165" s="512"/>
      <c r="AA165" s="512"/>
      <c r="AB165" s="512"/>
      <c r="AC165" s="512"/>
      <c r="AD165" s="512"/>
    </row>
    <row r="166" spans="5:30" s="1" customFormat="1" x14ac:dyDescent="0.25">
      <c r="E166" s="2"/>
      <c r="G166" s="512"/>
      <c r="H166" s="512"/>
      <c r="I166" s="512"/>
      <c r="O166" s="512"/>
      <c r="P166" s="512"/>
      <c r="Q166" s="512"/>
      <c r="R166" s="512"/>
      <c r="S166" s="512"/>
      <c r="T166" s="512"/>
      <c r="U166" s="512"/>
      <c r="V166" s="512"/>
      <c r="W166" s="512"/>
      <c r="X166" s="512"/>
      <c r="Y166" s="512"/>
      <c r="Z166" s="512"/>
      <c r="AA166" s="512"/>
      <c r="AB166" s="512"/>
      <c r="AC166" s="512"/>
      <c r="AD166" s="512"/>
    </row>
    <row r="167" spans="5:30" s="1" customFormat="1" x14ac:dyDescent="0.25">
      <c r="E167" s="2"/>
      <c r="G167" s="512"/>
      <c r="H167" s="512"/>
      <c r="I167" s="512"/>
      <c r="O167" s="512"/>
      <c r="P167" s="512"/>
      <c r="Q167" s="512"/>
      <c r="R167" s="512"/>
      <c r="S167" s="512"/>
      <c r="T167" s="512"/>
      <c r="U167" s="512"/>
      <c r="V167" s="512"/>
      <c r="W167" s="512"/>
      <c r="X167" s="512"/>
      <c r="Y167" s="512"/>
      <c r="Z167" s="512"/>
      <c r="AA167" s="512"/>
      <c r="AB167" s="512"/>
      <c r="AC167" s="512"/>
      <c r="AD167" s="512"/>
    </row>
    <row r="168" spans="5:30" s="1" customFormat="1" x14ac:dyDescent="0.25">
      <c r="E168" s="2"/>
      <c r="G168" s="512"/>
      <c r="H168" s="512"/>
      <c r="I168" s="512"/>
      <c r="O168" s="512"/>
      <c r="P168" s="512"/>
      <c r="Q168" s="512"/>
      <c r="R168" s="512"/>
      <c r="S168" s="512"/>
      <c r="T168" s="512"/>
      <c r="U168" s="512"/>
      <c r="V168" s="512"/>
      <c r="W168" s="512"/>
      <c r="X168" s="512"/>
      <c r="Y168" s="512"/>
      <c r="Z168" s="512"/>
      <c r="AA168" s="512"/>
      <c r="AB168" s="512"/>
      <c r="AC168" s="512"/>
      <c r="AD168" s="512"/>
    </row>
    <row r="169" spans="5:30" s="1" customFormat="1" x14ac:dyDescent="0.25">
      <c r="E169" s="2"/>
      <c r="G169" s="512"/>
      <c r="H169" s="512"/>
      <c r="I169" s="512"/>
      <c r="O169" s="512"/>
      <c r="P169" s="512"/>
      <c r="Q169" s="512"/>
      <c r="R169" s="512"/>
      <c r="S169" s="512"/>
      <c r="T169" s="512"/>
      <c r="U169" s="512"/>
      <c r="V169" s="512"/>
      <c r="W169" s="512"/>
      <c r="X169" s="512"/>
      <c r="Y169" s="512"/>
      <c r="Z169" s="512"/>
      <c r="AA169" s="512"/>
      <c r="AB169" s="512"/>
      <c r="AC169" s="512"/>
      <c r="AD169" s="512"/>
    </row>
    <row r="170" spans="5:30" s="1" customFormat="1" x14ac:dyDescent="0.25">
      <c r="E170" s="2"/>
      <c r="G170" s="512"/>
      <c r="H170" s="512"/>
      <c r="I170" s="512"/>
      <c r="O170" s="512"/>
      <c r="P170" s="512"/>
      <c r="Q170" s="512"/>
      <c r="R170" s="512"/>
      <c r="S170" s="512"/>
      <c r="T170" s="512"/>
      <c r="U170" s="512"/>
      <c r="V170" s="512"/>
      <c r="W170" s="512"/>
      <c r="X170" s="512"/>
      <c r="Y170" s="512"/>
      <c r="Z170" s="512"/>
      <c r="AA170" s="512"/>
      <c r="AB170" s="512"/>
      <c r="AC170" s="512"/>
      <c r="AD170" s="512"/>
    </row>
    <row r="171" spans="5:30" s="1" customFormat="1" x14ac:dyDescent="0.25">
      <c r="E171" s="2"/>
      <c r="G171" s="512"/>
      <c r="H171" s="512"/>
      <c r="I171" s="512"/>
      <c r="O171" s="512"/>
      <c r="P171" s="512"/>
      <c r="Q171" s="512"/>
      <c r="R171" s="512"/>
      <c r="S171" s="512"/>
      <c r="T171" s="512"/>
      <c r="U171" s="512"/>
      <c r="V171" s="512"/>
      <c r="W171" s="512"/>
      <c r="X171" s="512"/>
      <c r="Y171" s="512"/>
      <c r="Z171" s="512"/>
      <c r="AA171" s="512"/>
      <c r="AB171" s="512"/>
      <c r="AC171" s="512"/>
      <c r="AD171" s="512"/>
    </row>
    <row r="172" spans="5:30" s="1" customFormat="1" x14ac:dyDescent="0.25">
      <c r="E172" s="2"/>
      <c r="G172" s="512"/>
      <c r="H172" s="512"/>
      <c r="I172" s="512"/>
      <c r="O172" s="512"/>
      <c r="P172" s="512"/>
      <c r="Q172" s="512"/>
      <c r="R172" s="512"/>
      <c r="S172" s="512"/>
      <c r="T172" s="512"/>
      <c r="U172" s="512"/>
      <c r="V172" s="512"/>
      <c r="W172" s="512"/>
      <c r="X172" s="512"/>
      <c r="Y172" s="512"/>
      <c r="Z172" s="512"/>
      <c r="AA172" s="512"/>
      <c r="AB172" s="512"/>
      <c r="AC172" s="512"/>
      <c r="AD172" s="512"/>
    </row>
    <row r="173" spans="5:30" s="1" customFormat="1" x14ac:dyDescent="0.25">
      <c r="E173" s="2"/>
      <c r="G173" s="512"/>
      <c r="H173" s="512"/>
      <c r="I173" s="512"/>
      <c r="O173" s="512"/>
      <c r="P173" s="512"/>
      <c r="Q173" s="512"/>
      <c r="R173" s="512"/>
      <c r="S173" s="512"/>
      <c r="T173" s="512"/>
      <c r="U173" s="512"/>
      <c r="V173" s="512"/>
      <c r="W173" s="512"/>
      <c r="X173" s="512"/>
      <c r="Y173" s="512"/>
      <c r="Z173" s="512"/>
      <c r="AA173" s="512"/>
      <c r="AB173" s="512"/>
      <c r="AC173" s="512"/>
      <c r="AD173" s="512"/>
    </row>
    <row r="174" spans="5:30" s="1" customFormat="1" x14ac:dyDescent="0.25">
      <c r="E174" s="2"/>
      <c r="G174" s="512"/>
      <c r="H174" s="512"/>
      <c r="I174" s="512"/>
      <c r="O174" s="512"/>
      <c r="P174" s="512"/>
      <c r="Q174" s="512"/>
      <c r="R174" s="512"/>
      <c r="S174" s="512"/>
      <c r="T174" s="512"/>
      <c r="U174" s="512"/>
      <c r="V174" s="512"/>
      <c r="W174" s="512"/>
      <c r="X174" s="512"/>
      <c r="Y174" s="512"/>
      <c r="Z174" s="512"/>
      <c r="AA174" s="512"/>
      <c r="AB174" s="512"/>
      <c r="AC174" s="512"/>
      <c r="AD174" s="512"/>
    </row>
    <row r="175" spans="5:30" s="1" customFormat="1" x14ac:dyDescent="0.25">
      <c r="E175" s="2"/>
      <c r="G175" s="512"/>
      <c r="H175" s="512"/>
      <c r="I175" s="512"/>
      <c r="O175" s="512"/>
      <c r="P175" s="512"/>
      <c r="Q175" s="512"/>
      <c r="R175" s="512"/>
      <c r="S175" s="512"/>
      <c r="T175" s="512"/>
      <c r="U175" s="512"/>
      <c r="V175" s="512"/>
      <c r="W175" s="512"/>
      <c r="X175" s="512"/>
      <c r="Y175" s="512"/>
      <c r="Z175" s="512"/>
      <c r="AA175" s="512"/>
      <c r="AB175" s="512"/>
      <c r="AC175" s="512"/>
      <c r="AD175" s="512"/>
    </row>
    <row r="176" spans="5:30" s="1" customFormat="1" x14ac:dyDescent="0.25">
      <c r="E176" s="2"/>
      <c r="G176" s="512"/>
      <c r="H176" s="512"/>
      <c r="I176" s="512"/>
      <c r="O176" s="512"/>
      <c r="P176" s="512"/>
      <c r="Q176" s="512"/>
      <c r="R176" s="512"/>
      <c r="S176" s="512"/>
      <c r="T176" s="512"/>
      <c r="U176" s="512"/>
      <c r="V176" s="512"/>
      <c r="W176" s="512"/>
      <c r="X176" s="512"/>
      <c r="Y176" s="512"/>
      <c r="Z176" s="512"/>
      <c r="AA176" s="512"/>
      <c r="AB176" s="512"/>
      <c r="AC176" s="512"/>
      <c r="AD176" s="512"/>
    </row>
    <row r="177" spans="5:30" s="1" customFormat="1" x14ac:dyDescent="0.25">
      <c r="E177" s="2"/>
      <c r="G177" s="512"/>
      <c r="H177" s="512"/>
      <c r="I177" s="512"/>
      <c r="O177" s="512"/>
      <c r="P177" s="512"/>
      <c r="Q177" s="512"/>
      <c r="R177" s="512"/>
      <c r="S177" s="512"/>
      <c r="T177" s="512"/>
      <c r="U177" s="512"/>
      <c r="V177" s="512"/>
      <c r="W177" s="512"/>
      <c r="X177" s="512"/>
      <c r="Y177" s="512"/>
      <c r="Z177" s="512"/>
      <c r="AA177" s="512"/>
      <c r="AB177" s="512"/>
      <c r="AC177" s="512"/>
      <c r="AD177" s="512"/>
    </row>
    <row r="178" spans="5:30" s="1" customFormat="1" x14ac:dyDescent="0.25">
      <c r="E178" s="2"/>
      <c r="G178" s="512"/>
      <c r="H178" s="512"/>
      <c r="I178" s="512"/>
      <c r="O178" s="512"/>
      <c r="P178" s="512"/>
      <c r="Q178" s="512"/>
      <c r="R178" s="512"/>
      <c r="S178" s="512"/>
      <c r="T178" s="512"/>
      <c r="U178" s="512"/>
      <c r="V178" s="512"/>
      <c r="W178" s="512"/>
      <c r="X178" s="512"/>
      <c r="Y178" s="512"/>
      <c r="Z178" s="512"/>
      <c r="AA178" s="512"/>
      <c r="AB178" s="512"/>
      <c r="AC178" s="512"/>
      <c r="AD178" s="512"/>
    </row>
    <row r="179" spans="5:30" s="1" customFormat="1" x14ac:dyDescent="0.25">
      <c r="E179" s="2"/>
      <c r="G179" s="512"/>
      <c r="H179" s="512"/>
      <c r="I179" s="512"/>
      <c r="O179" s="512"/>
      <c r="P179" s="512"/>
      <c r="Q179" s="512"/>
      <c r="R179" s="512"/>
      <c r="S179" s="512"/>
      <c r="T179" s="512"/>
      <c r="U179" s="512"/>
      <c r="V179" s="512"/>
      <c r="W179" s="512"/>
      <c r="X179" s="512"/>
      <c r="Y179" s="512"/>
      <c r="Z179" s="512"/>
      <c r="AA179" s="512"/>
      <c r="AB179" s="512"/>
      <c r="AC179" s="512"/>
      <c r="AD179" s="512"/>
    </row>
    <row r="180" spans="5:30" s="1" customFormat="1" x14ac:dyDescent="0.25">
      <c r="E180" s="2"/>
      <c r="G180" s="512"/>
      <c r="H180" s="512"/>
      <c r="I180" s="512"/>
      <c r="O180" s="512"/>
      <c r="P180" s="512"/>
      <c r="Q180" s="512"/>
      <c r="R180" s="512"/>
      <c r="S180" s="512"/>
      <c r="T180" s="512"/>
      <c r="U180" s="512"/>
      <c r="V180" s="512"/>
      <c r="W180" s="512"/>
      <c r="X180" s="512"/>
      <c r="Y180" s="512"/>
      <c r="Z180" s="512"/>
      <c r="AA180" s="512"/>
      <c r="AB180" s="512"/>
      <c r="AC180" s="512"/>
      <c r="AD180" s="512"/>
    </row>
    <row r="181" spans="5:30" s="1" customFormat="1" x14ac:dyDescent="0.25">
      <c r="E181" s="2"/>
      <c r="G181" s="512"/>
      <c r="H181" s="512"/>
      <c r="I181" s="512"/>
      <c r="O181" s="512"/>
      <c r="P181" s="512"/>
      <c r="Q181" s="512"/>
      <c r="R181" s="512"/>
      <c r="S181" s="512"/>
      <c r="T181" s="512"/>
      <c r="U181" s="512"/>
      <c r="V181" s="512"/>
      <c r="W181" s="512"/>
      <c r="X181" s="512"/>
      <c r="Y181" s="512"/>
      <c r="Z181" s="512"/>
      <c r="AA181" s="512"/>
      <c r="AB181" s="512"/>
      <c r="AC181" s="512"/>
      <c r="AD181" s="512"/>
    </row>
    <row r="182" spans="5:30" s="1" customFormat="1" x14ac:dyDescent="0.25">
      <c r="E182" s="2"/>
      <c r="G182" s="512"/>
      <c r="H182" s="512"/>
      <c r="I182" s="512"/>
      <c r="O182" s="512"/>
      <c r="P182" s="512"/>
      <c r="Q182" s="512"/>
      <c r="R182" s="512"/>
      <c r="S182" s="512"/>
      <c r="T182" s="512"/>
      <c r="U182" s="512"/>
      <c r="V182" s="512"/>
      <c r="W182" s="512"/>
      <c r="X182" s="512"/>
      <c r="Y182" s="512"/>
      <c r="Z182" s="512"/>
      <c r="AA182" s="512"/>
      <c r="AB182" s="512"/>
      <c r="AC182" s="512"/>
      <c r="AD182" s="512"/>
    </row>
    <row r="183" spans="5:30" s="1" customFormat="1" x14ac:dyDescent="0.25">
      <c r="E183" s="2"/>
      <c r="G183" s="512"/>
      <c r="H183" s="512"/>
      <c r="I183" s="512"/>
      <c r="O183" s="512"/>
      <c r="P183" s="512"/>
      <c r="Q183" s="512"/>
      <c r="R183" s="512"/>
      <c r="S183" s="512"/>
      <c r="T183" s="512"/>
      <c r="U183" s="512"/>
      <c r="V183" s="512"/>
      <c r="W183" s="512"/>
      <c r="X183" s="512"/>
      <c r="Y183" s="512"/>
      <c r="Z183" s="512"/>
      <c r="AA183" s="512"/>
      <c r="AB183" s="512"/>
      <c r="AC183" s="512"/>
      <c r="AD183" s="512"/>
    </row>
    <row r="184" spans="5:30" s="1" customFormat="1" x14ac:dyDescent="0.25">
      <c r="E184" s="2"/>
      <c r="G184" s="512"/>
      <c r="H184" s="512"/>
      <c r="I184" s="512"/>
      <c r="O184" s="512"/>
      <c r="P184" s="512"/>
      <c r="Q184" s="512"/>
      <c r="R184" s="512"/>
      <c r="S184" s="512"/>
      <c r="T184" s="512"/>
      <c r="U184" s="512"/>
      <c r="V184" s="512"/>
      <c r="W184" s="512"/>
      <c r="X184" s="512"/>
      <c r="Y184" s="512"/>
      <c r="Z184" s="512"/>
      <c r="AA184" s="512"/>
      <c r="AB184" s="512"/>
      <c r="AC184" s="512"/>
      <c r="AD184" s="512"/>
    </row>
    <row r="185" spans="5:30" s="1" customFormat="1" x14ac:dyDescent="0.25">
      <c r="E185" s="2"/>
      <c r="G185" s="512"/>
      <c r="H185" s="512"/>
      <c r="I185" s="512"/>
      <c r="O185" s="512"/>
      <c r="P185" s="512"/>
      <c r="Q185" s="512"/>
      <c r="R185" s="512"/>
      <c r="S185" s="512"/>
      <c r="T185" s="512"/>
      <c r="U185" s="512"/>
      <c r="V185" s="512"/>
      <c r="W185" s="512"/>
      <c r="X185" s="512"/>
      <c r="Y185" s="512"/>
      <c r="Z185" s="512"/>
      <c r="AA185" s="512"/>
      <c r="AB185" s="512"/>
      <c r="AC185" s="512"/>
      <c r="AD185" s="512"/>
    </row>
    <row r="186" spans="5:30" s="1" customFormat="1" x14ac:dyDescent="0.25">
      <c r="E186" s="2"/>
      <c r="G186" s="512"/>
      <c r="H186" s="512"/>
      <c r="I186" s="512"/>
      <c r="O186" s="512"/>
      <c r="P186" s="512"/>
      <c r="Q186" s="512"/>
      <c r="R186" s="512"/>
      <c r="S186" s="512"/>
      <c r="T186" s="512"/>
      <c r="U186" s="512"/>
      <c r="V186" s="512"/>
      <c r="W186" s="512"/>
      <c r="X186" s="512"/>
      <c r="Y186" s="512"/>
      <c r="Z186" s="512"/>
      <c r="AA186" s="512"/>
      <c r="AB186" s="512"/>
      <c r="AC186" s="512"/>
      <c r="AD186" s="512"/>
    </row>
  </sheetData>
  <sheetProtection algorithmName="SHA-512" hashValue="hmLojRePM1Hmi50viFvfn/8sSbR81LY0beJ2EN1I/jFcsaFiiT6w+CRy4tCFXnQBsjhZm/jQic3tZts2ZO7HDA==" saltValue="gIReG8BM9g6ZuNcPjHoTsg=="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F17">
    <cfRule type="expression" dxfId="4059" priority="10">
      <formula>$F$5=$AE$5</formula>
    </cfRule>
    <cfRule type="expression" dxfId="4058" priority="598">
      <formula>$F$5&lt;&gt;$L$5</formula>
    </cfRule>
  </conditionalFormatting>
  <conditionalFormatting sqref="E16:F16 E17">
    <cfRule type="expression" dxfId="4057" priority="600">
      <formula>$F$5&lt;&gt;$L$5</formula>
    </cfRule>
  </conditionalFormatting>
  <conditionalFormatting sqref="E13:F13">
    <cfRule type="expression" dxfId="4056" priority="603">
      <formula>$F$5&lt;&gt;$L$9</formula>
    </cfRule>
  </conditionalFormatting>
  <conditionalFormatting sqref="E21:F21">
    <cfRule type="expression" dxfId="4055" priority="20">
      <formula>$H$21=0</formula>
    </cfRule>
  </conditionalFormatting>
  <conditionalFormatting sqref="E16:F16">
    <cfRule type="expression" dxfId="4054" priority="11">
      <formula>$F$5=$AE$5</formula>
    </cfRule>
  </conditionalFormatting>
  <conditionalFormatting sqref="E20:F20 E22:F22">
    <cfRule type="expression" dxfId="4053" priority="9">
      <formula>$F$5=$AE$5</formula>
    </cfRule>
  </conditionalFormatting>
  <conditionalFormatting sqref="E18:F27">
    <cfRule type="expression" dxfId="4052" priority="8">
      <formula>$I18=0</formula>
    </cfRule>
  </conditionalFormatting>
  <conditionalFormatting sqref="F18:F27">
    <cfRule type="expression" dxfId="4051" priority="7">
      <formula>$I18=1</formula>
    </cfRule>
  </conditionalFormatting>
  <conditionalFormatting sqref="E28:F28">
    <cfRule type="expression" dxfId="4050" priority="6">
      <formula>$I28=0</formula>
    </cfRule>
  </conditionalFormatting>
  <conditionalFormatting sqref="F28">
    <cfRule type="expression" dxfId="4049" priority="5">
      <formula>$I28=1</formula>
    </cfRule>
  </conditionalFormatting>
  <conditionalFormatting sqref="E15:F15">
    <cfRule type="expression" dxfId="4048" priority="2">
      <formula>$I15=0</formula>
    </cfRule>
  </conditionalFormatting>
  <conditionalFormatting sqref="F15">
    <cfRule type="expression" dxfId="4047" priority="1">
      <formula>$I15=1</formula>
    </cfRule>
  </conditionalFormatting>
  <dataValidations xWindow="982" yWindow="379" count="29">
    <dataValidation type="list" allowBlank="1" showInputMessage="1" showErrorMessage="1" sqref="P98" xr:uid="{00000000-0002-0000-0100-000000000000}">
      <formula1>$P$96:$P$97</formula1>
    </dataValidation>
    <dataValidation allowBlank="1" showErrorMessage="1" sqref="F12:F13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1" xr:uid="{00000000-0002-0000-0100-000011000000}"/>
    <dataValidation allowBlank="1" showInputMessage="1" showErrorMessage="1" prompt="Bruksareal (BRA) er arealet innenfor omsluttede vegger, ref NS 3940:2012" sqref="E11" xr:uid="{00000000-0002-0000-0100-000012000000}"/>
    <dataValidation allowBlank="1" showInputMessage="1" showErrorMessage="1" prompt="Bruttoareal (BTA) er arealet begrenset av ytterveggens utside eller midt i delevegg, ref NS 3940:2012" sqref="E12" xr:uid="{00000000-0002-0000-0100-000013000000}"/>
    <dataValidation allowBlank="1" showInputMessage="1" showErrorMessage="1" prompt="Det er ingen definisjon av BRAs (salgbart bruksareal) iht. NS 3940:2012. BRAs er den enkelte leilighets BRA, det vil si areal innenfor omsluttende vegger i leiligheten. " sqref="E13"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Q17" xr:uid="{00000000-0002-0000-0100-000016000000}">
      <formula1>$Q$11:$Q$13</formula1>
    </dataValidation>
    <dataValidation type="list" allowBlank="1" showErrorMessage="1" error="Invalid data entry, please retry." sqref="F15" xr:uid="{564102FE-95DE-4AC4-BF96-683EC33772D0}">
      <formula1>$R$22:$R$23</formula1>
    </dataValidation>
    <dataValidation type="list" allowBlank="1" showInputMessage="1" showErrorMessage="1" sqref="F7" xr:uid="{15ABCB03-5731-4FFE-9EEF-4CD143A54E86}">
      <formula1>$Q$11:$Q$16</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4"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5"/>
  <sheetViews>
    <sheetView zoomScaleNormal="100" zoomScalePageLayoutView="30" workbookViewId="0">
      <pane ySplit="9" topLeftCell="A10" activePane="bottomLeft" state="frozen"/>
      <selection pane="bottomLeft" activeCell="G12" sqref="G12"/>
    </sheetView>
  </sheetViews>
  <sheetFormatPr defaultColWidth="9.140625" defaultRowHeight="15" x14ac:dyDescent="0.25"/>
  <cols>
    <col min="1" max="1" width="3.28515625" style="19" customWidth="1"/>
    <col min="2" max="2" width="3.42578125" style="19" customWidth="1"/>
    <col min="3" max="3" width="7.85546875" style="19" customWidth="1"/>
    <col min="4" max="4" width="9.5703125" style="64" hidden="1" customWidth="1"/>
    <col min="5" max="5" width="74.140625" style="1" customWidth="1"/>
    <col min="6" max="6" width="9.42578125" style="1" customWidth="1"/>
    <col min="7" max="7" width="7.42578125" style="1" customWidth="1"/>
    <col min="8" max="8" width="9.5703125" style="1" customWidth="1"/>
    <col min="9" max="9" width="13.140625" style="1" customWidth="1"/>
    <col min="10" max="10" width="8.140625" style="1" customWidth="1"/>
    <col min="11" max="11" width="5.140625" style="1" customWidth="1"/>
    <col min="12" max="12" width="30" style="758" customWidth="1"/>
    <col min="13" max="13" width="1" style="818" customWidth="1"/>
    <col min="14" max="14" width="8.5703125" style="761" customWidth="1"/>
    <col min="15" max="15" width="9.5703125" style="761" customWidth="1"/>
    <col min="16" max="16" width="12.42578125" style="761" bestFit="1" customWidth="1"/>
    <col min="17" max="17" width="9" style="761" customWidth="1"/>
    <col min="18" max="18" width="4.85546875" style="761" customWidth="1"/>
    <col min="19" max="19" width="24.28515625" style="761" customWidth="1"/>
    <col min="20" max="20" width="1" style="133" customWidth="1"/>
    <col min="21" max="22" width="9.28515625" style="262" customWidth="1"/>
    <col min="23" max="23" width="12.42578125" style="262" bestFit="1" customWidth="1"/>
    <col min="24" max="24" width="7.7109375" style="262" customWidth="1"/>
    <col min="25" max="25" width="4.85546875" style="262" customWidth="1"/>
    <col min="26" max="26" width="26.7109375" style="761" customWidth="1"/>
    <col min="27" max="27" width="3.5703125" style="23" hidden="1" customWidth="1"/>
    <col min="28" max="28" width="21.42578125" style="23" hidden="1" customWidth="1"/>
    <col min="29" max="29" width="6.42578125" style="132" hidden="1" customWidth="1"/>
    <col min="30" max="30" width="15.7109375" style="261" hidden="1" customWidth="1"/>
    <col min="31" max="32" width="9.140625" style="261"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x14ac:dyDescent="0.35">
      <c r="A1" s="1068"/>
      <c r="B1" s="1068"/>
      <c r="C1" s="1068"/>
      <c r="D1" s="735"/>
      <c r="E1" s="267" t="s">
        <v>1131</v>
      </c>
      <c r="F1" s="268"/>
      <c r="G1" s="268"/>
      <c r="H1" s="267"/>
      <c r="I1" s="268"/>
      <c r="J1" s="268"/>
      <c r="K1" s="268"/>
      <c r="L1" s="1157"/>
      <c r="M1" s="268"/>
      <c r="N1" s="268"/>
      <c r="O1" s="268"/>
      <c r="P1" s="268"/>
      <c r="Q1" s="268"/>
      <c r="R1" s="268"/>
      <c r="S1" s="268"/>
      <c r="T1" s="268"/>
      <c r="U1" s="268"/>
      <c r="V1" s="268"/>
      <c r="W1" s="268"/>
      <c r="X1" s="268"/>
      <c r="Y1" s="268"/>
      <c r="Z1" s="637" t="str">
        <f>IF('Manuell filtrering og justering'!I2='Manuell filtrering og justering'!J2,"Bespoke","")</f>
        <v/>
      </c>
      <c r="AA1" s="268"/>
      <c r="AB1" s="268"/>
      <c r="AC1" s="268"/>
      <c r="AD1" s="1"/>
      <c r="AE1" s="1"/>
      <c r="AF1" s="1"/>
      <c r="AI1" s="669" t="s">
        <v>426</v>
      </c>
      <c r="AJ1" s="668"/>
      <c r="AK1" s="668"/>
      <c r="AL1" s="668"/>
      <c r="AM1" s="668"/>
      <c r="AN1" s="668"/>
      <c r="AO1" s="668"/>
      <c r="AP1" s="668"/>
      <c r="AQ1" s="668"/>
      <c r="AR1" s="668"/>
      <c r="AS1" s="668"/>
      <c r="AT1" s="668"/>
      <c r="AU1" s="668"/>
      <c r="AV1" s="668"/>
      <c r="AW1" s="668"/>
      <c r="AX1" s="668"/>
      <c r="AY1" s="668"/>
      <c r="AZ1" s="668"/>
      <c r="BA1" s="668"/>
    </row>
    <row r="2" spans="1:58" s="64" customFormat="1" ht="6" customHeight="1" x14ac:dyDescent="0.25">
      <c r="A2" s="19"/>
      <c r="B2" s="19"/>
      <c r="C2" s="19"/>
      <c r="E2" s="100">
        <v>1</v>
      </c>
      <c r="F2" s="101">
        <v>2</v>
      </c>
      <c r="G2" s="100">
        <v>3</v>
      </c>
      <c r="H2" s="101">
        <v>4</v>
      </c>
      <c r="I2" s="100">
        <v>5</v>
      </c>
      <c r="J2" s="101">
        <v>6</v>
      </c>
      <c r="K2" s="100">
        <v>7</v>
      </c>
      <c r="L2" s="101">
        <v>8</v>
      </c>
      <c r="M2" s="100">
        <v>9</v>
      </c>
      <c r="N2" s="101">
        <v>10</v>
      </c>
      <c r="O2" s="100">
        <v>11</v>
      </c>
      <c r="P2" s="101">
        <v>12</v>
      </c>
      <c r="Q2" s="100">
        <v>13</v>
      </c>
      <c r="R2" s="101">
        <v>14</v>
      </c>
      <c r="S2" s="100">
        <v>15</v>
      </c>
      <c r="T2" s="101">
        <v>16</v>
      </c>
      <c r="U2" s="100">
        <v>17</v>
      </c>
      <c r="V2" s="101">
        <v>18</v>
      </c>
      <c r="W2" s="100">
        <v>19</v>
      </c>
      <c r="X2" s="101">
        <v>20</v>
      </c>
      <c r="Y2" s="100">
        <v>21</v>
      </c>
      <c r="Z2" s="101">
        <v>22</v>
      </c>
      <c r="AA2" s="100">
        <v>23</v>
      </c>
      <c r="AB2" s="101">
        <v>24</v>
      </c>
      <c r="AC2" s="100">
        <v>25</v>
      </c>
      <c r="AD2" s="101">
        <v>26</v>
      </c>
      <c r="AE2" s="100">
        <v>27</v>
      </c>
      <c r="AF2" s="101">
        <v>28</v>
      </c>
      <c r="AG2" s="100">
        <v>29</v>
      </c>
      <c r="AH2" s="101">
        <v>30</v>
      </c>
      <c r="AI2" s="100">
        <v>31</v>
      </c>
      <c r="AJ2" s="101">
        <v>32</v>
      </c>
      <c r="AK2" s="100">
        <v>33</v>
      </c>
      <c r="AL2" s="101">
        <v>34</v>
      </c>
      <c r="AM2" s="100">
        <v>35</v>
      </c>
      <c r="AN2" s="101">
        <v>36</v>
      </c>
      <c r="AO2" s="100">
        <v>37</v>
      </c>
      <c r="AP2" s="101">
        <v>38</v>
      </c>
      <c r="AQ2" s="100">
        <v>39</v>
      </c>
      <c r="AR2" s="101">
        <v>40</v>
      </c>
      <c r="AS2" s="100">
        <v>41</v>
      </c>
      <c r="AT2" s="101">
        <v>42</v>
      </c>
      <c r="AU2" s="100">
        <v>43</v>
      </c>
      <c r="AV2" s="101">
        <v>44</v>
      </c>
      <c r="AW2" s="100">
        <v>45</v>
      </c>
      <c r="AX2" s="101">
        <v>46</v>
      </c>
      <c r="AY2" s="100">
        <v>47</v>
      </c>
      <c r="AZ2" s="101">
        <v>48</v>
      </c>
      <c r="BA2" s="100">
        <v>49</v>
      </c>
    </row>
    <row r="3" spans="1:58" ht="20.25" customHeight="1" x14ac:dyDescent="0.4">
      <c r="A3" s="1012"/>
      <c r="B3" s="1012"/>
      <c r="C3" s="1012"/>
      <c r="D3" s="736"/>
      <c r="E3" s="285"/>
      <c r="F3" s="102"/>
      <c r="G3" s="1309" t="s">
        <v>216</v>
      </c>
      <c r="H3" s="1310"/>
      <c r="I3" s="1310"/>
      <c r="J3" s="1310"/>
      <c r="K3" s="1310"/>
      <c r="L3" s="739"/>
      <c r="M3" s="801"/>
      <c r="N3" s="1309" t="s">
        <v>221</v>
      </c>
      <c r="O3" s="1310"/>
      <c r="P3" s="1310"/>
      <c r="Q3" s="1310"/>
      <c r="R3" s="1310"/>
      <c r="S3" s="1311"/>
      <c r="T3" s="800"/>
      <c r="U3" s="1309" t="s">
        <v>222</v>
      </c>
      <c r="V3" s="1310"/>
      <c r="W3" s="1310"/>
      <c r="X3" s="1310"/>
      <c r="Y3" s="1310"/>
      <c r="Z3" s="1311"/>
      <c r="AA3" s="675"/>
      <c r="AB3" s="685" t="s">
        <v>424</v>
      </c>
      <c r="AC3" s="638"/>
      <c r="AD3" s="638"/>
      <c r="AE3" s="638"/>
      <c r="AF3" s="639"/>
      <c r="AJ3" s="3" t="s">
        <v>403</v>
      </c>
      <c r="AK3" s="1" t="str">
        <f>ADPT</f>
        <v>New Construction (fully fitted)</v>
      </c>
    </row>
    <row r="4" spans="1:58" s="2" customFormat="1" ht="15" customHeight="1" x14ac:dyDescent="0.25">
      <c r="A4" s="1012"/>
      <c r="B4" s="1012"/>
      <c r="C4" s="1012"/>
      <c r="D4" s="736"/>
      <c r="E4" s="103" t="s">
        <v>21</v>
      </c>
      <c r="F4" s="98"/>
      <c r="G4" s="104" t="s">
        <v>313</v>
      </c>
      <c r="H4" s="105"/>
      <c r="I4" s="1016"/>
      <c r="J4" s="1016"/>
      <c r="K4" s="1017"/>
      <c r="L4" s="106" t="str">
        <f>BP_BREEAMRating</f>
        <v>Unclassified</v>
      </c>
      <c r="M4" s="740"/>
      <c r="N4" s="929" t="str">
        <f>IF(S8=Poeng!D277,Poeng!E277,Poeng!F277)</f>
        <v>To activate select YES in cell S8</v>
      </c>
      <c r="O4" s="802"/>
      <c r="P4" s="802"/>
      <c r="Q4" s="802"/>
      <c r="R4" s="802"/>
      <c r="S4" s="803" t="str">
        <f>IF(S8=AD_no,"",Poeng!BH264)</f>
        <v/>
      </c>
      <c r="T4" s="271"/>
      <c r="U4" s="931" t="str">
        <f>IF(Z8=Poeng!D277,Poeng!E278,Poeng!F278)</f>
        <v>To activate select YES in cell Z8</v>
      </c>
      <c r="V4" s="804"/>
      <c r="W4" s="804"/>
      <c r="X4" s="804"/>
      <c r="Y4" s="804"/>
      <c r="Z4" s="803" t="str">
        <f>IF(Z8=AD_no,"",Poeng!BK264)</f>
        <v/>
      </c>
      <c r="AA4" s="98"/>
      <c r="AB4" s="1312" t="s">
        <v>460</v>
      </c>
      <c r="AC4" s="107"/>
      <c r="AD4" s="37"/>
      <c r="AE4" s="37"/>
      <c r="AF4" s="37"/>
      <c r="AG4" s="37"/>
      <c r="AJ4" s="46" t="str">
        <f>IF(OR(AK3=AK4,AK3=AK5),ais_ja,ais_nei)</f>
        <v>Nei</v>
      </c>
      <c r="AK4" s="2" t="str">
        <f>ADPT02</f>
        <v>New Construction (shell only)</v>
      </c>
      <c r="AU4" s="20"/>
      <c r="AV4" s="20"/>
      <c r="AW4" s="20"/>
      <c r="AX4" s="20"/>
    </row>
    <row r="5" spans="1:58" s="2" customFormat="1" ht="15" customHeight="1" x14ac:dyDescent="0.25">
      <c r="A5" s="1012"/>
      <c r="B5" s="1012"/>
      <c r="C5" s="1012"/>
      <c r="D5" s="736"/>
      <c r="E5" s="108" t="str">
        <f>IF(ISBLANK(ADBN),"",ADBN)</f>
        <v/>
      </c>
      <c r="F5" s="98"/>
      <c r="G5" s="109" t="s">
        <v>85</v>
      </c>
      <c r="H5" s="110"/>
      <c r="I5" s="1018"/>
      <c r="J5" s="1018"/>
      <c r="K5" s="111"/>
      <c r="L5" s="272">
        <f>Score_Initial</f>
        <v>0</v>
      </c>
      <c r="M5" s="740"/>
      <c r="N5" s="930" t="s">
        <v>85</v>
      </c>
      <c r="O5" s="805"/>
      <c r="P5" s="805"/>
      <c r="Q5" s="805"/>
      <c r="R5" s="805"/>
      <c r="S5" s="806" t="str">
        <f>IF(S8=AD_no,"",Score_design)</f>
        <v/>
      </c>
      <c r="T5" s="271"/>
      <c r="U5" s="932" t="s">
        <v>85</v>
      </c>
      <c r="V5" s="807"/>
      <c r="W5" s="807"/>
      <c r="X5" s="807"/>
      <c r="Y5" s="807"/>
      <c r="Z5" s="806" t="str">
        <f>IF(Z8=AD_no,"",Score_const)</f>
        <v/>
      </c>
      <c r="AA5" s="98"/>
      <c r="AB5" s="1313"/>
      <c r="AC5" s="107"/>
      <c r="AD5" s="274"/>
      <c r="AE5" s="274"/>
      <c r="AF5" s="274"/>
      <c r="AG5" s="274"/>
      <c r="AJ5" s="607"/>
      <c r="AK5" s="643" t="str">
        <f>ADPT04</f>
        <v>Major Refurbishment (shell and core)</v>
      </c>
    </row>
    <row r="6" spans="1:58" s="2" customFormat="1" ht="15" customHeight="1" x14ac:dyDescent="0.25">
      <c r="A6" s="1012"/>
      <c r="B6" s="1012"/>
      <c r="C6" s="1012"/>
      <c r="D6" s="736"/>
      <c r="E6" s="1151" t="str">
        <f>"Pre-Assessment Estimator Version: "&amp;TVC_current_version</f>
        <v>Pre-Assessment Estimator Version: 1.1</v>
      </c>
      <c r="F6" s="98"/>
      <c r="G6" s="109" t="s">
        <v>80</v>
      </c>
      <c r="H6" s="110"/>
      <c r="I6" s="1018"/>
      <c r="J6" s="1018"/>
      <c r="K6" s="111"/>
      <c r="L6" s="112" t="str">
        <f>Poeng!BE258</f>
        <v>Unclassified &lt;30%</v>
      </c>
      <c r="M6" s="740"/>
      <c r="N6" s="930" t="s">
        <v>80</v>
      </c>
      <c r="O6" s="805"/>
      <c r="P6" s="805"/>
      <c r="Q6" s="805"/>
      <c r="R6" s="805"/>
      <c r="S6" s="808" t="str">
        <f>IF(S8=AD_no,"",Poeng!BH258)</f>
        <v/>
      </c>
      <c r="T6" s="271"/>
      <c r="U6" s="932" t="s">
        <v>80</v>
      </c>
      <c r="V6" s="807"/>
      <c r="W6" s="807"/>
      <c r="X6" s="807"/>
      <c r="Y6" s="807"/>
      <c r="Z6" s="808" t="str">
        <f>IF(Z8=AD_no,"",Poeng!BK258)</f>
        <v/>
      </c>
      <c r="AA6" s="98"/>
      <c r="AB6" s="1313"/>
      <c r="AC6" s="107"/>
      <c r="AD6" s="274"/>
      <c r="AE6" s="274"/>
      <c r="AF6" s="274"/>
      <c r="AG6" s="274"/>
      <c r="AJ6" s="607" t="s">
        <v>409</v>
      </c>
      <c r="AK6" s="367"/>
      <c r="AL6" s="367"/>
      <c r="AM6" s="367"/>
      <c r="AN6" s="367"/>
      <c r="AO6" s="367"/>
      <c r="AP6" s="367"/>
      <c r="AQ6" s="23"/>
      <c r="AR6" s="23"/>
      <c r="AS6" s="23"/>
      <c r="AT6" s="23"/>
      <c r="AU6" s="23"/>
      <c r="AV6" s="23"/>
      <c r="AW6" s="23"/>
      <c r="AX6" s="23"/>
      <c r="AY6" s="23"/>
      <c r="AZ6" s="23"/>
      <c r="BA6" s="23"/>
      <c r="BB6" s="23"/>
      <c r="BC6" s="23"/>
      <c r="BD6" s="420"/>
      <c r="BE6" s="420"/>
      <c r="BF6" s="420"/>
    </row>
    <row r="7" spans="1:58" s="2" customFormat="1" ht="15" customHeight="1" thickBot="1" x14ac:dyDescent="0.3">
      <c r="A7" s="1012"/>
      <c r="B7" s="1012"/>
      <c r="C7" s="1012"/>
      <c r="D7" s="736"/>
      <c r="E7" s="108" t="str">
        <f>ADPT</f>
        <v>New Construction (fully fitted)</v>
      </c>
      <c r="F7" s="98"/>
      <c r="G7" s="1148" t="s">
        <v>971</v>
      </c>
      <c r="H7" s="1149"/>
      <c r="I7" s="1149"/>
      <c r="J7" s="1149"/>
      <c r="K7" s="1149"/>
      <c r="L7" s="1150" t="str">
        <f>Poeng!BR258</f>
        <v>No</v>
      </c>
      <c r="M7" s="740"/>
      <c r="N7" s="930" t="str">
        <f>G7</f>
        <v xml:space="preserve">Requirements for EU taxonomy </v>
      </c>
      <c r="O7" s="805"/>
      <c r="P7" s="805"/>
      <c r="Q7" s="805"/>
      <c r="R7" s="805"/>
      <c r="S7" s="808" t="str">
        <f>IF(S8=AD_no,"",Poeng!BS258)</f>
        <v/>
      </c>
      <c r="T7" s="271"/>
      <c r="U7" s="932" t="str">
        <f>G7</f>
        <v xml:space="preserve">Requirements for EU taxonomy </v>
      </c>
      <c r="V7" s="807"/>
      <c r="W7" s="807"/>
      <c r="X7" s="807"/>
      <c r="Y7" s="807"/>
      <c r="Z7" s="808" t="str">
        <f>IF(Z8=AD_no,"",Poeng!BT258)</f>
        <v/>
      </c>
      <c r="AA7" s="98"/>
      <c r="AB7" s="1313"/>
      <c r="AC7" s="107"/>
      <c r="AD7" s="274"/>
      <c r="AE7" s="274"/>
      <c r="AF7" s="274"/>
      <c r="AG7" s="274"/>
      <c r="AJ7" s="607"/>
      <c r="AK7" s="1043"/>
      <c r="AL7" s="1043"/>
      <c r="AM7" s="1043"/>
      <c r="AN7" s="1043"/>
      <c r="AO7" s="1043"/>
      <c r="AP7" s="1043"/>
      <c r="AQ7" s="23"/>
      <c r="AR7" s="23"/>
      <c r="AS7" s="23"/>
      <c r="AT7" s="23"/>
      <c r="AU7" s="23"/>
      <c r="AV7" s="23"/>
      <c r="AW7" s="23"/>
      <c r="AX7" s="23"/>
      <c r="AY7" s="23"/>
      <c r="AZ7" s="23"/>
      <c r="BA7" s="23"/>
      <c r="BB7" s="23"/>
      <c r="BC7" s="23"/>
      <c r="BD7" s="420"/>
      <c r="BE7" s="420"/>
      <c r="BF7" s="420"/>
    </row>
    <row r="8" spans="1:58" s="2" customFormat="1" ht="15" customHeight="1" x14ac:dyDescent="0.25">
      <c r="A8" s="19"/>
      <c r="B8" s="19"/>
      <c r="C8" s="19"/>
      <c r="D8" s="64"/>
      <c r="E8" s="1152" t="str">
        <f>IF(OR(Poeng!BF264=1,Poeng!BI264=1,Poeng!BL264=1),Poeng!AX269,"")</f>
        <v/>
      </c>
      <c r="F8" s="98"/>
      <c r="G8" s="113"/>
      <c r="H8" s="114"/>
      <c r="I8" s="115"/>
      <c r="J8" s="115"/>
      <c r="K8" s="115"/>
      <c r="L8" s="928"/>
      <c r="M8" s="740"/>
      <c r="N8" s="930" t="s">
        <v>302</v>
      </c>
      <c r="O8" s="805"/>
      <c r="P8" s="805"/>
      <c r="Q8" s="805"/>
      <c r="R8" s="805"/>
      <c r="S8" s="809" t="s">
        <v>13</v>
      </c>
      <c r="T8" s="271"/>
      <c r="U8" s="932" t="s">
        <v>302</v>
      </c>
      <c r="V8" s="807"/>
      <c r="W8" s="807"/>
      <c r="X8" s="807"/>
      <c r="Y8" s="807"/>
      <c r="Z8" s="809" t="s">
        <v>13</v>
      </c>
      <c r="AA8" s="98"/>
      <c r="AB8" s="1313"/>
      <c r="AC8" s="107"/>
      <c r="AD8" s="1307" t="s">
        <v>256</v>
      </c>
      <c r="AE8" s="1308"/>
      <c r="AF8" s="1308"/>
      <c r="AG8" s="274"/>
      <c r="AJ8" s="647" t="str">
        <f>IF(ADBT0=ADBT12,ais_nei,ais_ja)</f>
        <v>Ja</v>
      </c>
      <c r="AK8" s="644"/>
      <c r="AL8" s="644"/>
      <c r="AM8" s="644"/>
      <c r="AN8" s="650"/>
      <c r="AO8" s="650"/>
      <c r="AP8" s="650"/>
      <c r="AQ8" s="23"/>
      <c r="AR8" s="23"/>
      <c r="AS8" s="23"/>
      <c r="AT8" s="23"/>
      <c r="AU8" s="23"/>
      <c r="AV8" s="23"/>
      <c r="AW8" s="23"/>
      <c r="AX8" s="23"/>
      <c r="AY8" s="23"/>
      <c r="AZ8" s="23"/>
      <c r="BA8" s="23"/>
      <c r="BB8" s="23"/>
      <c r="BC8" s="23"/>
      <c r="BD8" s="37"/>
      <c r="BE8" s="37"/>
      <c r="BF8" s="37"/>
    </row>
    <row r="9" spans="1:58" ht="30" customHeight="1" x14ac:dyDescent="0.3">
      <c r="A9" s="737" t="s">
        <v>218</v>
      </c>
      <c r="B9" s="737" t="s">
        <v>219</v>
      </c>
      <c r="C9" s="737"/>
      <c r="D9" s="737"/>
      <c r="E9" s="1201" t="s">
        <v>1131</v>
      </c>
      <c r="F9" s="270" t="s">
        <v>101</v>
      </c>
      <c r="G9" s="116" t="s">
        <v>43</v>
      </c>
      <c r="H9" s="117" t="s">
        <v>826</v>
      </c>
      <c r="I9" s="118" t="s">
        <v>881</v>
      </c>
      <c r="J9" s="269" t="s">
        <v>300</v>
      </c>
      <c r="K9" s="283" t="s">
        <v>260</v>
      </c>
      <c r="L9" s="284" t="s">
        <v>261</v>
      </c>
      <c r="M9" s="740"/>
      <c r="N9" s="880" t="s">
        <v>43</v>
      </c>
      <c r="O9" s="879" t="s">
        <v>826</v>
      </c>
      <c r="P9" s="879" t="s">
        <v>881</v>
      </c>
      <c r="Q9" s="119" t="s">
        <v>300</v>
      </c>
      <c r="R9" s="119" t="s">
        <v>260</v>
      </c>
      <c r="S9" s="120" t="s">
        <v>261</v>
      </c>
      <c r="T9" s="121"/>
      <c r="U9" s="880" t="s">
        <v>43</v>
      </c>
      <c r="V9" s="879" t="s">
        <v>826</v>
      </c>
      <c r="W9" s="879" t="s">
        <v>881</v>
      </c>
      <c r="X9" s="119" t="s">
        <v>300</v>
      </c>
      <c r="Y9" s="119" t="s">
        <v>260</v>
      </c>
      <c r="Z9" s="120" t="s">
        <v>261</v>
      </c>
      <c r="AA9" s="107"/>
      <c r="AB9" s="698" t="str">
        <f>IF(AJ4=ais_ja,"Shell/core compliance?","")</f>
        <v/>
      </c>
      <c r="AC9" s="107"/>
      <c r="AD9" s="72" t="s">
        <v>257</v>
      </c>
      <c r="AE9" s="71" t="s">
        <v>258</v>
      </c>
      <c r="AF9" s="71" t="s">
        <v>259</v>
      </c>
      <c r="AI9" s="70" t="s">
        <v>427</v>
      </c>
      <c r="AY9" s="23"/>
      <c r="AZ9" s="23"/>
      <c r="BA9" s="23"/>
      <c r="BB9" s="23"/>
      <c r="BC9" s="23"/>
      <c r="BD9" s="18"/>
      <c r="BE9" s="18"/>
      <c r="BF9" s="18"/>
    </row>
    <row r="10" spans="1:58" ht="34.5" customHeight="1" x14ac:dyDescent="0.25">
      <c r="A10" s="1076">
        <v>1</v>
      </c>
      <c r="B10" s="1075" t="s">
        <v>62</v>
      </c>
      <c r="C10" s="1074"/>
      <c r="D10" s="823"/>
      <c r="E10" s="868" t="s">
        <v>11</v>
      </c>
      <c r="F10" s="869"/>
      <c r="G10" s="870"/>
      <c r="H10" s="869"/>
      <c r="I10" s="869"/>
      <c r="J10" s="871"/>
      <c r="K10" s="872"/>
      <c r="L10" s="873"/>
      <c r="M10" s="810"/>
      <c r="N10" s="811"/>
      <c r="O10" s="751"/>
      <c r="P10" s="751"/>
      <c r="Q10" s="812"/>
      <c r="R10" s="812"/>
      <c r="S10" s="743"/>
      <c r="T10" s="319"/>
      <c r="U10" s="333"/>
      <c r="V10" s="332"/>
      <c r="W10" s="332"/>
      <c r="X10" s="813"/>
      <c r="Y10" s="813"/>
      <c r="Z10" s="814"/>
      <c r="AA10" s="132"/>
      <c r="AB10" s="646"/>
      <c r="AC10" s="107">
        <f t="shared" ref="AC10:AC76" si="0">IF(F10="",1,IF(F10=0,2,1))</f>
        <v>1</v>
      </c>
      <c r="AD10" s="275">
        <v>0</v>
      </c>
      <c r="AE10" s="275">
        <v>0</v>
      </c>
      <c r="AF10" s="275">
        <v>0</v>
      </c>
      <c r="AI10" s="70"/>
      <c r="AJ10" s="670" t="s">
        <v>11</v>
      </c>
      <c r="AK10" s="645"/>
      <c r="AL10" s="645"/>
      <c r="AM10" s="645"/>
      <c r="AN10" s="645"/>
      <c r="AO10" s="645"/>
      <c r="AP10" s="645"/>
      <c r="AR10" s="645"/>
      <c r="AS10" s="645"/>
      <c r="AT10" s="645"/>
      <c r="AU10" s="645"/>
      <c r="AV10" s="649"/>
      <c r="AW10" s="649"/>
      <c r="AX10" s="649"/>
      <c r="AY10" s="23"/>
      <c r="AZ10" s="317"/>
      <c r="BA10" s="23"/>
      <c r="BB10" s="23"/>
      <c r="BC10" s="23"/>
      <c r="BD10" s="18"/>
      <c r="BE10" s="18"/>
      <c r="BF10" s="18"/>
    </row>
    <row r="11" spans="1:58" x14ac:dyDescent="0.25">
      <c r="A11" s="1076">
        <v>2</v>
      </c>
      <c r="B11" s="1075" t="s">
        <v>62</v>
      </c>
      <c r="C11" s="924" t="s">
        <v>92</v>
      </c>
      <c r="D11" s="824" t="s">
        <v>92</v>
      </c>
      <c r="E11" s="860" t="str">
        <f>VLOOKUP(D11,Poeng!$B$10:$R$252,Poeng!E$1,FALSE)</f>
        <v>Man 01 Project brief and design</v>
      </c>
      <c r="F11" s="865">
        <f>VLOOKUP(D11,Poeng!$B$10:$AB$252,Poeng!AB$1,FALSE)</f>
        <v>5</v>
      </c>
      <c r="G11" s="1000"/>
      <c r="H11" s="866" t="str">
        <f>VLOOKUP(D11,Poeng!$B$10:$AI$252,Poeng!AI$1,FALSE)&amp;" c. "&amp;ROUND(VLOOKUP(D11,Poeng!$B$10:$AE$252,Poeng!AE$1,FALSE)*100,1)&amp;" %"</f>
        <v>0 c. 0 %</v>
      </c>
      <c r="I11" s="923" t="str">
        <f>VLOOKUP(D11,Poeng!$B$10:$BE$252,Poeng!BE$1,FALSE)</f>
        <v>N/A</v>
      </c>
      <c r="J11" s="874"/>
      <c r="K11" s="875"/>
      <c r="L11" s="876"/>
      <c r="M11" s="815"/>
      <c r="N11" s="1001"/>
      <c r="O11" s="877" t="str">
        <f>VLOOKUP(D11,Poeng!$B$10:$BC$252,Poeng!AJ$1,FALSE)&amp;" c. "&amp;ROUND(VLOOKUP(D11,Poeng!$B$10:$BC$252,Poeng!AF$1,FALSE)*100,1)&amp;" %"</f>
        <v>0 c. 0 %</v>
      </c>
      <c r="P11" s="877" t="str">
        <f>VLOOKUP(D11,Poeng!$B$10:$BE$252,Poeng!BE$1,FALSE)</f>
        <v>N/A</v>
      </c>
      <c r="Q11" s="744"/>
      <c r="R11" s="745"/>
      <c r="S11" s="738"/>
      <c r="T11" s="319"/>
      <c r="U11" s="1001"/>
      <c r="V11" s="877" t="str">
        <f>VLOOKUP(D11,Poeng!$B$10:$BC$252,Poeng!AK$1,FALSE)&amp;" c. "&amp;ROUND(VLOOKUP(D11,Poeng!$B$10:$BC$252,Poeng!AG$1,FALSE)*100,1)&amp;" %"</f>
        <v>0 c. 0 %</v>
      </c>
      <c r="W11" s="877" t="str">
        <f>VLOOKUP(D11,Poeng!$B$10:$BK$252,Poeng!BK$1,FALSE)</f>
        <v>N/A</v>
      </c>
      <c r="X11" s="81"/>
      <c r="Y11" s="80"/>
      <c r="Z11" s="738"/>
      <c r="AA11" s="133"/>
      <c r="AB11" s="640" t="s">
        <v>13</v>
      </c>
      <c r="AC11" s="107">
        <f t="shared" si="0"/>
        <v>1</v>
      </c>
      <c r="AD11" s="3" t="e">
        <f>VLOOKUP(K11,'Assessment Details'!$O$45:$P$48,2,FALSE)</f>
        <v>#N/A</v>
      </c>
      <c r="AE11" s="3" t="e">
        <f>VLOOKUP(R11,'Assessment Details'!$O$45:$P$48,2,FALSE)</f>
        <v>#N/A</v>
      </c>
      <c r="AF11" s="3" t="e">
        <f>VLOOKUP(Y11,'Assessment Details'!$O$45:$P$48,2,FALSE)</f>
        <v>#N/A</v>
      </c>
      <c r="AI11" s="70"/>
      <c r="AJ11" s="670" t="s">
        <v>306</v>
      </c>
      <c r="AK11" s="648" t="s">
        <v>13</v>
      </c>
      <c r="AL11" s="652" t="s">
        <v>12</v>
      </c>
      <c r="AM11" s="70"/>
      <c r="AN11" s="70"/>
      <c r="AO11" s="70"/>
      <c r="AP11" s="70"/>
      <c r="AS11" s="23" t="str">
        <f>IF($AJ$4=ais_nei,AIS_NA,IF(AK11="",AIS_NA,AK11))</f>
        <v>N/A</v>
      </c>
      <c r="AT11" s="23" t="str">
        <f t="shared" ref="AT11:AT92" si="1">IF($AJ$4=ais_nei,AIS_NA,IF(AL11="",AIS_NA,AL11))</f>
        <v>N/A</v>
      </c>
      <c r="AU11" s="23" t="str">
        <f t="shared" ref="AU11:AU92" si="2">IF($AJ$4=ais_nei,AIS_NA,IF(AM11="",AIS_NA,AM11))</f>
        <v>N/A</v>
      </c>
      <c r="AV11" s="23"/>
      <c r="AW11" s="23"/>
      <c r="AX11" s="23"/>
      <c r="AY11" s="23"/>
      <c r="AZ11" s="640"/>
      <c r="BA11" s="23"/>
      <c r="BB11" s="23"/>
      <c r="BC11" s="23"/>
      <c r="BD11" s="18"/>
      <c r="BE11" s="18"/>
      <c r="BF11" s="18"/>
    </row>
    <row r="12" spans="1:58" x14ac:dyDescent="0.25">
      <c r="A12" s="1076">
        <v>3</v>
      </c>
      <c r="B12" s="1075" t="s">
        <v>62</v>
      </c>
      <c r="C12" s="1082" t="s">
        <v>92</v>
      </c>
      <c r="D12" s="19" t="s">
        <v>711</v>
      </c>
      <c r="E12" s="861" t="str">
        <f>VLOOKUP(D12,Poeng!$B$10:$R$252,Poeng!E$1,FALSE)</f>
        <v>Planning project delivery</v>
      </c>
      <c r="F12" s="122">
        <f>VLOOKUP(D12,Poeng!$B$10:$AB$252,Poeng!AB$1,FALSE)</f>
        <v>1</v>
      </c>
      <c r="G12" s="43"/>
      <c r="H12" s="123">
        <f>VLOOKUP(D12,Poeng!$B$10:$AE$252,Poeng!AE$1,FALSE)</f>
        <v>0</v>
      </c>
      <c r="I12" s="124" t="str">
        <f>VLOOKUP(D12,Poeng!$B$10:$BE$252,Poeng!BE$1,FALSE)</f>
        <v>Very Good</v>
      </c>
      <c r="J12" s="80"/>
      <c r="K12" s="281"/>
      <c r="L12" s="796"/>
      <c r="M12" s="1097"/>
      <c r="N12" s="83"/>
      <c r="O12" s="123">
        <f>VLOOKUP(D12,Poeng!$B$10:$BC$252,Poeng!AF$1,FALSE)</f>
        <v>0</v>
      </c>
      <c r="P12" s="123" t="str">
        <f>VLOOKUP(D12,Poeng!$B$10:$BH$252,Poeng!BH$1,FALSE)</f>
        <v>Very Good</v>
      </c>
      <c r="Q12" s="744"/>
      <c r="R12" s="745"/>
      <c r="S12" s="738"/>
      <c r="T12" s="319"/>
      <c r="U12" s="83"/>
      <c r="V12" s="123">
        <f>VLOOKUP(D12,Poeng!$B$10:$BC$252,Poeng!AG$1,FALSE)</f>
        <v>0</v>
      </c>
      <c r="W12" s="123" t="str">
        <f>VLOOKUP(D12,Poeng!$B$10:$BK$252,Poeng!BK$1,FALSE)</f>
        <v>Very Good</v>
      </c>
      <c r="X12" s="81"/>
      <c r="Y12" s="80"/>
      <c r="Z12" s="738"/>
      <c r="AC12" s="107">
        <f t="shared" si="0"/>
        <v>1</v>
      </c>
      <c r="AD12" s="3" t="e">
        <f>VLOOKUP(K12,'Assessment Details'!$O$45:$P$48,2,FALSE)</f>
        <v>#N/A</v>
      </c>
      <c r="AE12" s="3" t="e">
        <f>VLOOKUP(R12,'Assessment Details'!$O$45:$P$48,2,FALSE)</f>
        <v>#N/A</v>
      </c>
      <c r="AF12" s="3" t="e">
        <f>VLOOKUP(Y12,'Assessment Details'!$O$45:$P$48,2,FALSE)</f>
        <v>#N/A</v>
      </c>
    </row>
    <row r="13" spans="1:58" ht="30" x14ac:dyDescent="0.25">
      <c r="A13" s="1076">
        <v>4</v>
      </c>
      <c r="B13" s="1075" t="s">
        <v>62</v>
      </c>
      <c r="C13" s="1082" t="s">
        <v>92</v>
      </c>
      <c r="D13" s="19" t="s">
        <v>712</v>
      </c>
      <c r="E13" s="1071" t="str">
        <f>VLOOKUP(D13,Poeng!$B$10:$R$252,Poeng!E$1,FALSE)</f>
        <v>Climate gas calculation for whole building life cycle (EU taxonomy requirement: criterion 2-3)</v>
      </c>
      <c r="F13" s="122">
        <f>VLOOKUP(D13,Poeng!$B$10:$AB$252,Poeng!AB$1,FALSE)</f>
        <v>1</v>
      </c>
      <c r="G13" s="43"/>
      <c r="H13" s="123">
        <f>VLOOKUP(D13,Poeng!$B$10:$AE$252,Poeng!AE$1,FALSE)</f>
        <v>0</v>
      </c>
      <c r="I13" s="124" t="str">
        <f>VLOOKUP(D13,Poeng!$B$10:$BE$252,Poeng!BE$1,FALSE)</f>
        <v>Very Good</v>
      </c>
      <c r="J13" s="80"/>
      <c r="K13" s="281"/>
      <c r="L13" s="796"/>
      <c r="M13" s="1097"/>
      <c r="N13" s="83"/>
      <c r="O13" s="123">
        <f>VLOOKUP(D13,Poeng!$B$10:$BC$252,Poeng!AF$1,FALSE)</f>
        <v>0</v>
      </c>
      <c r="P13" s="123" t="str">
        <f>VLOOKUP(D13,Poeng!$B$10:$BH$252,Poeng!BH$1,FALSE)</f>
        <v>Very Good</v>
      </c>
      <c r="Q13" s="744"/>
      <c r="R13" s="745"/>
      <c r="S13" s="738"/>
      <c r="T13" s="319"/>
      <c r="U13" s="83"/>
      <c r="V13" s="123">
        <f>VLOOKUP(D13,Poeng!$B$10:$BC$252,Poeng!AG$1,FALSE)</f>
        <v>0</v>
      </c>
      <c r="W13" s="123" t="str">
        <f>VLOOKUP(D13,Poeng!$B$10:$BK$252,Poeng!BK$1,FALSE)</f>
        <v>Very Good</v>
      </c>
      <c r="X13" s="81"/>
      <c r="Y13" s="80"/>
      <c r="Z13" s="738"/>
      <c r="AC13" s="107">
        <f t="shared" si="0"/>
        <v>1</v>
      </c>
      <c r="AD13" s="3" t="e">
        <f>VLOOKUP(K13,'Assessment Details'!$O$45:$P$48,2,FALSE)</f>
        <v>#N/A</v>
      </c>
      <c r="AE13" s="3" t="e">
        <f>VLOOKUP(R13,'Assessment Details'!$O$45:$P$48,2,FALSE)</f>
        <v>#N/A</v>
      </c>
      <c r="AF13" s="3" t="e">
        <f>VLOOKUP(Y13,'Assessment Details'!$O$45:$P$48,2,FALSE)</f>
        <v>#N/A</v>
      </c>
    </row>
    <row r="14" spans="1:58" x14ac:dyDescent="0.25">
      <c r="A14" s="1076">
        <v>5</v>
      </c>
      <c r="B14" s="1075" t="s">
        <v>62</v>
      </c>
      <c r="C14" s="1082" t="s">
        <v>92</v>
      </c>
      <c r="D14" s="19" t="s">
        <v>713</v>
      </c>
      <c r="E14" s="861" t="str">
        <f>VLOOKUP(D14,Poeng!$B$10:$R$252,Poeng!E$1,FALSE)</f>
        <v>Third party stakeholder consultation</v>
      </c>
      <c r="F14" s="122">
        <f>VLOOKUP(D14,Poeng!$B$10:$AB$252,Poeng!AB$1,FALSE)</f>
        <v>1</v>
      </c>
      <c r="G14" s="43"/>
      <c r="H14" s="123">
        <f>VLOOKUP(D14,Poeng!$B$10:$AE$252,Poeng!AE$1,FALSE)</f>
        <v>0</v>
      </c>
      <c r="I14" s="124" t="str">
        <f>VLOOKUP(D14,Poeng!$B$10:$BE$252,Poeng!BE$1,FALSE)</f>
        <v>N/A</v>
      </c>
      <c r="J14" s="80"/>
      <c r="K14" s="281"/>
      <c r="L14" s="738"/>
      <c r="M14" s="1097"/>
      <c r="N14" s="83"/>
      <c r="O14" s="123">
        <f>VLOOKUP(D14,Poeng!$B$10:$BC$252,Poeng!AF$1,FALSE)</f>
        <v>0</v>
      </c>
      <c r="P14" s="123" t="str">
        <f>VLOOKUP(D14,Poeng!$B$10:$BH$252,Poeng!BH$1,FALSE)</f>
        <v>N/A</v>
      </c>
      <c r="Q14" s="744"/>
      <c r="R14" s="745"/>
      <c r="S14" s="738"/>
      <c r="T14" s="319"/>
      <c r="U14" s="83"/>
      <c r="V14" s="123">
        <f>VLOOKUP(D14,Poeng!$B$10:$BC$252,Poeng!AG$1,FALSE)</f>
        <v>0</v>
      </c>
      <c r="W14" s="123" t="str">
        <f>VLOOKUP(D14,Poeng!$B$10:$BK$252,Poeng!BK$1,FALSE)</f>
        <v>N/A</v>
      </c>
      <c r="X14" s="81"/>
      <c r="Y14" s="80"/>
      <c r="Z14" s="738"/>
      <c r="AC14" s="107">
        <f t="shared" si="0"/>
        <v>1</v>
      </c>
      <c r="AD14" s="3" t="e">
        <f>VLOOKUP(K14,'Assessment Details'!$O$45:$P$48,2,FALSE)</f>
        <v>#N/A</v>
      </c>
      <c r="AE14" s="3" t="e">
        <f>VLOOKUP(R14,'Assessment Details'!$O$45:$P$48,2,FALSE)</f>
        <v>#N/A</v>
      </c>
      <c r="AF14" s="3" t="e">
        <f>VLOOKUP(Y14,'Assessment Details'!$O$45:$P$48,2,FALSE)</f>
        <v>#N/A</v>
      </c>
    </row>
    <row r="15" spans="1:58" x14ac:dyDescent="0.25">
      <c r="A15" s="1076">
        <v>6</v>
      </c>
      <c r="B15" s="1075" t="s">
        <v>62</v>
      </c>
      <c r="C15" s="1082" t="s">
        <v>92</v>
      </c>
      <c r="D15" s="19" t="s">
        <v>714</v>
      </c>
      <c r="E15" s="861" t="str">
        <f>VLOOKUP(D15,Poeng!$B$10:$R$252,Poeng!E$1,FALSE)</f>
        <v>BREEAM-NOR AP (stage 2 and 3)</v>
      </c>
      <c r="F15" s="122">
        <f>VLOOKUP(D15,Poeng!$B$10:$AB$252,Poeng!AB$1,FALSE)</f>
        <v>1</v>
      </c>
      <c r="G15" s="43"/>
      <c r="H15" s="123">
        <f>VLOOKUP(D15,Poeng!$B$10:$AE$252,Poeng!AE$1,FALSE)</f>
        <v>0</v>
      </c>
      <c r="I15" s="124" t="str">
        <f>VLOOKUP(D15,Poeng!$B$10:$BE$252,Poeng!BE$1,FALSE)</f>
        <v>N/A</v>
      </c>
      <c r="J15" s="80"/>
      <c r="K15" s="281"/>
      <c r="L15" s="796"/>
      <c r="M15" s="1097"/>
      <c r="N15" s="83"/>
      <c r="O15" s="123">
        <f>VLOOKUP(D15,Poeng!$B$10:$BC$252,Poeng!AF$1,FALSE)</f>
        <v>0</v>
      </c>
      <c r="P15" s="123" t="str">
        <f>VLOOKUP(D15,Poeng!$B$10:$BH$252,Poeng!BH$1,FALSE)</f>
        <v>N/A</v>
      </c>
      <c r="Q15" s="744"/>
      <c r="R15" s="745"/>
      <c r="S15" s="738"/>
      <c r="T15" s="319"/>
      <c r="U15" s="83"/>
      <c r="V15" s="123">
        <f>VLOOKUP(D15,Poeng!$B$10:$BC$252,Poeng!AG$1,FALSE)</f>
        <v>0</v>
      </c>
      <c r="W15" s="123" t="str">
        <f>VLOOKUP(D15,Poeng!$B$10:$BK$252,Poeng!BK$1,FALSE)</f>
        <v>N/A</v>
      </c>
      <c r="X15" s="81"/>
      <c r="Y15" s="80"/>
      <c r="Z15" s="738"/>
      <c r="AC15" s="107">
        <f t="shared" si="0"/>
        <v>1</v>
      </c>
      <c r="AD15" s="3" t="e">
        <f>VLOOKUP(K15,'Assessment Details'!$O$45:$P$48,2,FALSE)</f>
        <v>#N/A</v>
      </c>
      <c r="AE15" s="3" t="e">
        <f>VLOOKUP(R15,'Assessment Details'!$O$45:$P$48,2,FALSE)</f>
        <v>#N/A</v>
      </c>
      <c r="AF15" s="3" t="e">
        <f>VLOOKUP(Y15,'Assessment Details'!$O$45:$P$48,2,FALSE)</f>
        <v>#N/A</v>
      </c>
    </row>
    <row r="16" spans="1:58" x14ac:dyDescent="0.25">
      <c r="A16" s="1076">
        <v>7</v>
      </c>
      <c r="B16" s="1075" t="s">
        <v>62</v>
      </c>
      <c r="C16" s="1082" t="s">
        <v>92</v>
      </c>
      <c r="D16" s="19" t="s">
        <v>715</v>
      </c>
      <c r="E16" s="861" t="str">
        <f>VLOOKUP(D16,Poeng!$B$10:$R$252,Poeng!E$1,FALSE)</f>
        <v>BREEAM-NOR AP (stage 4)</v>
      </c>
      <c r="F16" s="122">
        <f>VLOOKUP(D16,Poeng!$B$10:$AB$252,Poeng!AB$1,FALSE)</f>
        <v>1</v>
      </c>
      <c r="G16" s="43"/>
      <c r="H16" s="123">
        <f>VLOOKUP(D16,Poeng!$B$10:$AE$252,Poeng!AE$1,FALSE)</f>
        <v>0</v>
      </c>
      <c r="I16" s="124" t="str">
        <f>VLOOKUP(D16,Poeng!$B$10:$BE$252,Poeng!BE$1,FALSE)</f>
        <v>N/A</v>
      </c>
      <c r="J16" s="80"/>
      <c r="K16" s="281"/>
      <c r="L16" s="796"/>
      <c r="M16" s="1097"/>
      <c r="N16" s="83"/>
      <c r="O16" s="123">
        <f>VLOOKUP(D16,Poeng!$B$10:$BC$252,Poeng!AF$1,FALSE)</f>
        <v>0</v>
      </c>
      <c r="P16" s="123" t="str">
        <f>VLOOKUP(D16,Poeng!$B$10:$BH$252,Poeng!BH$1,FALSE)</f>
        <v>N/A</v>
      </c>
      <c r="Q16" s="744"/>
      <c r="R16" s="745"/>
      <c r="S16" s="738"/>
      <c r="T16" s="319"/>
      <c r="U16" s="83"/>
      <c r="V16" s="123">
        <f>VLOOKUP(D16,Poeng!$B$10:$BC$252,Poeng!AG$1,FALSE)</f>
        <v>0</v>
      </c>
      <c r="W16" s="123" t="str">
        <f>VLOOKUP(D16,Poeng!$B$10:$BK$252,Poeng!BK$1,FALSE)</f>
        <v>N/A</v>
      </c>
      <c r="X16" s="81"/>
      <c r="Y16" s="80"/>
      <c r="Z16" s="738"/>
      <c r="AC16" s="107">
        <f t="shared" si="0"/>
        <v>1</v>
      </c>
      <c r="AD16" s="3" t="e">
        <f>VLOOKUP(K16,'Assessment Details'!$O$45:$P$48,2,FALSE)</f>
        <v>#N/A</v>
      </c>
      <c r="AE16" s="3" t="e">
        <f>VLOOKUP(R16,'Assessment Details'!$O$45:$P$48,2,FALSE)</f>
        <v>#N/A</v>
      </c>
      <c r="AF16" s="3" t="e">
        <f>VLOOKUP(Y16,'Assessment Details'!$O$45:$P$48,2,FALSE)</f>
        <v>#N/A</v>
      </c>
    </row>
    <row r="17" spans="1:58" x14ac:dyDescent="0.25">
      <c r="A17" s="1076">
        <v>8</v>
      </c>
      <c r="B17" s="1075" t="s">
        <v>62</v>
      </c>
      <c r="C17" s="924" t="s">
        <v>93</v>
      </c>
      <c r="D17" s="824" t="s">
        <v>93</v>
      </c>
      <c r="E17" s="860" t="str">
        <f>VLOOKUP(D17,Poeng!$B$10:$R$252,Poeng!E$1,FALSE)</f>
        <v>Man 02 Life cycle cost and service life planning</v>
      </c>
      <c r="F17" s="865">
        <f>VLOOKUP(D17,Poeng!$B$10:$AB$252,Poeng!AB$1,FALSE)</f>
        <v>3</v>
      </c>
      <c r="G17" s="1001"/>
      <c r="H17" s="866" t="str">
        <f>VLOOKUP(D17,Poeng!$B$10:$AI$252,Poeng!AI$1,FALSE)&amp;" c. "&amp;ROUND(VLOOKUP(D17,Poeng!$B$10:$AE$252,Poeng!AE$1,FALSE)*100,1)&amp;" %"</f>
        <v>0 c. 0 %</v>
      </c>
      <c r="I17" s="924" t="str">
        <f>VLOOKUP(D17,Poeng!$B$10:$BE$252,Poeng!BE$1,FALSE)</f>
        <v>N/A</v>
      </c>
      <c r="J17" s="80"/>
      <c r="K17" s="281"/>
      <c r="L17" s="796"/>
      <c r="M17" s="816"/>
      <c r="N17" s="1001"/>
      <c r="O17" s="877" t="str">
        <f>VLOOKUP(D17,Poeng!$B$10:$BC$252,Poeng!AJ$1,FALSE)&amp;" c. "&amp;ROUND(VLOOKUP(D17,Poeng!$B$10:$BC$252,Poeng!AF$1,FALSE)*100,1)&amp;" %"</f>
        <v>0 c. 0 %</v>
      </c>
      <c r="P17" s="123" t="str">
        <f>VLOOKUP(D17,Poeng!$B$10:$BH$252,Poeng!BH$1,FALSE)</f>
        <v>N/A</v>
      </c>
      <c r="Q17" s="744"/>
      <c r="R17" s="745"/>
      <c r="S17" s="738"/>
      <c r="T17" s="319"/>
      <c r="U17" s="1001"/>
      <c r="V17" s="877" t="str">
        <f>VLOOKUP(D17,Poeng!$B$10:$BC$252,Poeng!AK$1,FALSE)&amp;" c. "&amp;ROUND(VLOOKUP(D17,Poeng!$B$10:$BC$252,Poeng!AG$1,FALSE)*100,1)&amp;" %"</f>
        <v>0 c. 0 %</v>
      </c>
      <c r="W17" s="123" t="str">
        <f>VLOOKUP(D17,Poeng!$B$10:$BK$252,Poeng!BK$1,FALSE)</f>
        <v>N/A</v>
      </c>
      <c r="X17" s="81"/>
      <c r="Y17" s="80"/>
      <c r="Z17" s="738"/>
      <c r="AA17" s="133"/>
      <c r="AB17" s="640" t="s">
        <v>13</v>
      </c>
      <c r="AC17" s="107">
        <f t="shared" si="0"/>
        <v>1</v>
      </c>
      <c r="AD17" s="3" t="e">
        <f>VLOOKUP(K17,'Assessment Details'!$O$45:$P$48,2,FALSE)</f>
        <v>#N/A</v>
      </c>
      <c r="AE17" s="3" t="e">
        <f>VLOOKUP(R17,'Assessment Details'!$O$45:$P$48,2,FALSE)</f>
        <v>#N/A</v>
      </c>
      <c r="AF17" s="3" t="e">
        <f>VLOOKUP(Y17,'Assessment Details'!$O$45:$P$48,2,FALSE)</f>
        <v>#N/A</v>
      </c>
      <c r="AI17" s="70"/>
      <c r="AJ17" s="670" t="s">
        <v>307</v>
      </c>
      <c r="AK17" s="648" t="s">
        <v>13</v>
      </c>
      <c r="AL17" s="652" t="s">
        <v>12</v>
      </c>
      <c r="AM17" s="70"/>
      <c r="AN17" s="70"/>
      <c r="AO17" s="70"/>
      <c r="AP17" s="70"/>
      <c r="AS17" s="23" t="str">
        <f t="shared" ref="AS17:AS92" si="3">IF($AJ$4=ais_nei,AIS_NA,IF(AK17="",AIS_NA,AK17))</f>
        <v>N/A</v>
      </c>
      <c r="AT17" s="23" t="str">
        <f t="shared" si="1"/>
        <v>N/A</v>
      </c>
      <c r="AU17" s="23" t="str">
        <f t="shared" si="2"/>
        <v>N/A</v>
      </c>
      <c r="AV17" s="23"/>
      <c r="AW17" s="23"/>
      <c r="AX17" s="23"/>
      <c r="AY17" s="18"/>
      <c r="AZ17" s="640"/>
      <c r="BA17" s="18"/>
      <c r="BB17" s="18"/>
      <c r="BC17" s="18"/>
      <c r="BD17" s="18"/>
      <c r="BE17" s="18"/>
      <c r="BF17" s="18"/>
    </row>
    <row r="18" spans="1:58" x14ac:dyDescent="0.25">
      <c r="A18" s="1076">
        <v>9</v>
      </c>
      <c r="B18" s="1075" t="s">
        <v>62</v>
      </c>
      <c r="C18" s="1082" t="s">
        <v>93</v>
      </c>
      <c r="D18" s="824" t="s">
        <v>716</v>
      </c>
      <c r="E18" s="861" t="str">
        <f>VLOOKUP(D18,Poeng!$B$10:$R$252,Poeng!E$1,FALSE)</f>
        <v>Elemental life cycle cost (LCC) and capital cost reporting</v>
      </c>
      <c r="F18" s="122">
        <f>VLOOKUP(D18,Poeng!$B$10:$AB$252,Poeng!AB$1,FALSE)</f>
        <v>2</v>
      </c>
      <c r="G18" s="43"/>
      <c r="H18" s="123">
        <f>VLOOKUP(D18,Poeng!$B$10:$AE$252,Poeng!AE$1,FALSE)</f>
        <v>0</v>
      </c>
      <c r="I18" s="124" t="str">
        <f>VLOOKUP(D18,Poeng!$B$10:$BE$252,Poeng!BE$1,FALSE)</f>
        <v>N/A</v>
      </c>
      <c r="J18" s="80"/>
      <c r="K18" s="281"/>
      <c r="L18" s="796"/>
      <c r="M18" s="816"/>
      <c r="N18" s="83"/>
      <c r="O18" s="123">
        <f>VLOOKUP(D18,Poeng!$B$10:$BC$252,Poeng!AF$1,FALSE)</f>
        <v>0</v>
      </c>
      <c r="P18" s="123" t="str">
        <f>VLOOKUP(D18,Poeng!$B$10:$BH$252,Poeng!BH$1,FALSE)</f>
        <v>N/A</v>
      </c>
      <c r="Q18" s="744"/>
      <c r="R18" s="745"/>
      <c r="S18" s="738"/>
      <c r="T18" s="319"/>
      <c r="U18" s="83"/>
      <c r="V18" s="123">
        <f>VLOOKUP(D18,Poeng!$B$10:$BC$252,Poeng!AG$1,FALSE)</f>
        <v>0</v>
      </c>
      <c r="W18" s="123" t="str">
        <f>VLOOKUP(D18,Poeng!$B$10:$BK$252,Poeng!BK$1,FALSE)</f>
        <v>N/A</v>
      </c>
      <c r="X18" s="81"/>
      <c r="Y18" s="80"/>
      <c r="Z18" s="738"/>
      <c r="AA18" s="133"/>
      <c r="AB18" s="640"/>
      <c r="AC18" s="107">
        <f t="shared" si="0"/>
        <v>1</v>
      </c>
      <c r="AD18" s="3" t="e">
        <f>VLOOKUP(K18,'Assessment Details'!$O$45:$P$48,2,FALSE)</f>
        <v>#N/A</v>
      </c>
      <c r="AE18" s="3" t="e">
        <f>VLOOKUP(R18,'Assessment Details'!$O$45:$P$48,2,FALSE)</f>
        <v>#N/A</v>
      </c>
      <c r="AF18" s="3" t="e">
        <f>VLOOKUP(Y18,'Assessment Details'!$O$45:$P$48,2,FALSE)</f>
        <v>#N/A</v>
      </c>
      <c r="AI18" s="70"/>
      <c r="AJ18" s="670"/>
      <c r="AK18" s="648"/>
      <c r="AL18" s="652"/>
      <c r="AM18" s="70"/>
      <c r="AN18" s="70"/>
      <c r="AO18" s="70"/>
      <c r="AP18" s="70"/>
      <c r="AS18" s="23"/>
      <c r="AT18" s="23"/>
      <c r="AU18" s="23"/>
      <c r="AV18" s="23"/>
      <c r="AW18" s="23"/>
      <c r="AX18" s="23"/>
      <c r="AY18" s="18"/>
      <c r="AZ18" s="640"/>
      <c r="BA18" s="18"/>
      <c r="BB18" s="18"/>
      <c r="BC18" s="18"/>
      <c r="BD18" s="18"/>
      <c r="BE18" s="18"/>
      <c r="BF18" s="18"/>
    </row>
    <row r="19" spans="1:58" x14ac:dyDescent="0.25">
      <c r="A19" s="1076">
        <v>10</v>
      </c>
      <c r="B19" s="1075" t="s">
        <v>62</v>
      </c>
      <c r="C19" s="1082" t="s">
        <v>93</v>
      </c>
      <c r="D19" s="824" t="s">
        <v>717</v>
      </c>
      <c r="E19" s="861" t="str">
        <f>VLOOKUP(D19,Poeng!$B$10:$R$252,Poeng!E$1,FALSE)</f>
        <v>Component level life option appraisal</v>
      </c>
      <c r="F19" s="122">
        <f>VLOOKUP(D19,Poeng!$B$10:$AB$252,Poeng!AB$1,FALSE)</f>
        <v>1</v>
      </c>
      <c r="G19" s="43"/>
      <c r="H19" s="123">
        <f>VLOOKUP(D19,Poeng!$B$10:$AE$252,Poeng!AE$1,FALSE)</f>
        <v>0</v>
      </c>
      <c r="I19" s="124" t="str">
        <f>VLOOKUP(D19,Poeng!$B$10:$BE$252,Poeng!BE$1,FALSE)</f>
        <v>N/A</v>
      </c>
      <c r="J19" s="80"/>
      <c r="K19" s="281"/>
      <c r="L19" s="796"/>
      <c r="M19" s="816"/>
      <c r="N19" s="83"/>
      <c r="O19" s="123">
        <f>VLOOKUP(D19,Poeng!$B$10:$BC$252,Poeng!AF$1,FALSE)</f>
        <v>0</v>
      </c>
      <c r="P19" s="123" t="str">
        <f>VLOOKUP(D19,Poeng!$B$10:$BH$252,Poeng!BH$1,FALSE)</f>
        <v>N/A</v>
      </c>
      <c r="Q19" s="744"/>
      <c r="R19" s="745"/>
      <c r="S19" s="738"/>
      <c r="T19" s="319"/>
      <c r="U19" s="83"/>
      <c r="V19" s="123">
        <f>VLOOKUP(D19,Poeng!$B$10:$BC$252,Poeng!AG$1,FALSE)</f>
        <v>0</v>
      </c>
      <c r="W19" s="123" t="str">
        <f>VLOOKUP(D19,Poeng!$B$10:$BK$252,Poeng!BK$1,FALSE)</f>
        <v>N/A</v>
      </c>
      <c r="X19" s="81"/>
      <c r="Y19" s="80"/>
      <c r="Z19" s="738"/>
      <c r="AA19" s="133"/>
      <c r="AB19" s="640"/>
      <c r="AC19" s="107">
        <f t="shared" si="0"/>
        <v>1</v>
      </c>
      <c r="AD19" s="3" t="e">
        <f>VLOOKUP(K19,'Assessment Details'!$O$45:$P$48,2,FALSE)</f>
        <v>#N/A</v>
      </c>
      <c r="AE19" s="3" t="e">
        <f>VLOOKUP(R19,'Assessment Details'!$O$45:$P$48,2,FALSE)</f>
        <v>#N/A</v>
      </c>
      <c r="AF19" s="3" t="e">
        <f>VLOOKUP(Y19,'Assessment Details'!$O$45:$P$48,2,FALSE)</f>
        <v>#N/A</v>
      </c>
      <c r="AI19" s="70"/>
      <c r="AJ19" s="670"/>
      <c r="AK19" s="648"/>
      <c r="AL19" s="652"/>
      <c r="AM19" s="70"/>
      <c r="AN19" s="70"/>
      <c r="AO19" s="70"/>
      <c r="AP19" s="70"/>
      <c r="AS19" s="23"/>
      <c r="AT19" s="23"/>
      <c r="AU19" s="23"/>
      <c r="AV19" s="23"/>
      <c r="AW19" s="23"/>
      <c r="AX19" s="23"/>
      <c r="AY19" s="18"/>
      <c r="AZ19" s="640"/>
      <c r="BA19" s="18"/>
      <c r="BB19" s="18"/>
      <c r="BC19" s="18"/>
      <c r="BD19" s="18"/>
      <c r="BE19" s="18"/>
      <c r="BF19" s="18"/>
    </row>
    <row r="20" spans="1:58" x14ac:dyDescent="0.25">
      <c r="A20" s="1076">
        <v>11</v>
      </c>
      <c r="B20" s="1075" t="s">
        <v>62</v>
      </c>
      <c r="C20" s="924" t="s">
        <v>94</v>
      </c>
      <c r="D20" s="824" t="s">
        <v>94</v>
      </c>
      <c r="E20" s="860" t="str">
        <f>VLOOKUP(D20,Poeng!$B$10:$R$252,Poeng!E$1,FALSE)</f>
        <v>Man 03 Responsible construction practices</v>
      </c>
      <c r="F20" s="865">
        <f>VLOOKUP(D20,Poeng!$B$10:$AB$252,Poeng!AB$1,FALSE)</f>
        <v>7</v>
      </c>
      <c r="G20" s="1001"/>
      <c r="H20" s="866" t="str">
        <f>VLOOKUP(D20,Poeng!$B$10:$AI$252,Poeng!AI$1,FALSE)&amp;" c. "&amp;ROUND(VLOOKUP(D20,Poeng!$B$10:$AE$252,Poeng!AE$1,FALSE)*100,1)&amp;" %"</f>
        <v>0 c. 0 %</v>
      </c>
      <c r="I20" s="924" t="str">
        <f>VLOOKUP(D20,Poeng!$B$10:$BE$252,Poeng!BE$1,FALSE)</f>
        <v>N/A</v>
      </c>
      <c r="J20" s="80"/>
      <c r="K20" s="281"/>
      <c r="L20" s="796"/>
      <c r="M20" s="815"/>
      <c r="N20" s="1001"/>
      <c r="O20" s="877" t="str">
        <f>VLOOKUP(D20,Poeng!$B$10:$BC$252,Poeng!AJ$1,FALSE)&amp;" c. "&amp;ROUND(VLOOKUP(D20,Poeng!$B$10:$BC$252,Poeng!AF$1,FALSE)*100,1)&amp;" %"</f>
        <v>0 c. 0 %</v>
      </c>
      <c r="P20" s="123" t="str">
        <f>VLOOKUP(D20,Poeng!$B$10:$BH$252,Poeng!BH$1,FALSE)</f>
        <v>N/A</v>
      </c>
      <c r="Q20" s="744"/>
      <c r="R20" s="745"/>
      <c r="S20" s="738"/>
      <c r="T20" s="319"/>
      <c r="U20" s="1001"/>
      <c r="V20" s="877" t="str">
        <f>VLOOKUP(D20,Poeng!$B$10:$BC$252,Poeng!AK$1,FALSE)&amp;" c. "&amp;ROUND(VLOOKUP(D20,Poeng!$B$10:$BC$252,Poeng!AG$1,FALSE)*100,1)&amp;" %"</f>
        <v>0 c. 0 %</v>
      </c>
      <c r="W20" s="123" t="str">
        <f>VLOOKUP(D20,Poeng!$B$10:$BK$252,Poeng!BK$1,FALSE)</f>
        <v>N/A</v>
      </c>
      <c r="X20" s="81"/>
      <c r="Y20" s="80"/>
      <c r="Z20" s="738"/>
      <c r="AA20" s="133"/>
      <c r="AB20" s="640" t="s">
        <v>14</v>
      </c>
      <c r="AC20" s="107">
        <f t="shared" si="0"/>
        <v>1</v>
      </c>
      <c r="AD20" s="3" t="e">
        <f>VLOOKUP(K20,'Assessment Details'!$O$45:$P$48,2,FALSE)</f>
        <v>#N/A</v>
      </c>
      <c r="AE20" s="3" t="e">
        <f>VLOOKUP(R20,'Assessment Details'!$O$45:$P$48,2,FALSE)</f>
        <v>#N/A</v>
      </c>
      <c r="AF20" s="3" t="e">
        <f>VLOOKUP(Y20,'Assessment Details'!$O$45:$P$48,2,FALSE)</f>
        <v>#N/A</v>
      </c>
      <c r="AI20" s="70"/>
      <c r="AJ20" s="670" t="s">
        <v>308</v>
      </c>
      <c r="AK20" s="70"/>
      <c r="AL20" s="70"/>
      <c r="AM20" s="70"/>
      <c r="AN20" s="70"/>
      <c r="AO20" s="70"/>
      <c r="AP20" s="70"/>
      <c r="AS20" s="23" t="str">
        <f t="shared" si="3"/>
        <v>N/A</v>
      </c>
      <c r="AT20" s="23" t="str">
        <f t="shared" si="1"/>
        <v>N/A</v>
      </c>
      <c r="AU20" s="23" t="str">
        <f t="shared" si="2"/>
        <v>N/A</v>
      </c>
      <c r="AV20" s="23"/>
      <c r="AW20" s="23"/>
      <c r="AX20" s="23"/>
      <c r="AY20" s="18"/>
      <c r="AZ20" s="640"/>
      <c r="BA20" s="18"/>
      <c r="BB20" s="18"/>
      <c r="BC20" s="18"/>
      <c r="BD20" s="18"/>
      <c r="BE20" s="18"/>
      <c r="BF20" s="18"/>
    </row>
    <row r="21" spans="1:58" x14ac:dyDescent="0.25">
      <c r="A21" s="1076">
        <v>12</v>
      </c>
      <c r="B21" s="1075" t="s">
        <v>62</v>
      </c>
      <c r="C21" s="1082" t="s">
        <v>94</v>
      </c>
      <c r="D21" s="19" t="s">
        <v>718</v>
      </c>
      <c r="E21" s="861" t="str">
        <f>VLOOKUP(D21,Poeng!$B$10:$R$252,Poeng!E$1,FALSE)</f>
        <v>Environmental managment</v>
      </c>
      <c r="F21" s="122">
        <f>VLOOKUP(D21,Poeng!$B$10:$AB$252,Poeng!AB$1,FALSE)</f>
        <v>1</v>
      </c>
      <c r="G21" s="43"/>
      <c r="H21" s="123">
        <f>VLOOKUP(D21,Poeng!$B$10:$AE$252,Poeng!AE$1,FALSE)</f>
        <v>0</v>
      </c>
      <c r="I21" s="124" t="str">
        <f>VLOOKUP(D21,Poeng!$B$10:$BE$252,Poeng!BE$1,FALSE)</f>
        <v>N/A</v>
      </c>
      <c r="J21" s="80"/>
      <c r="K21" s="281"/>
      <c r="L21" s="796"/>
      <c r="M21" s="1097"/>
      <c r="N21" s="83"/>
      <c r="O21" s="123">
        <f>VLOOKUP(D21,Poeng!$B$10:$BC$252,Poeng!AF$1,FALSE)</f>
        <v>0</v>
      </c>
      <c r="P21" s="123" t="str">
        <f>VLOOKUP(D21,Poeng!$B$10:$BH$252,Poeng!BH$1,FALSE)</f>
        <v>N/A</v>
      </c>
      <c r="Q21" s="744"/>
      <c r="R21" s="745"/>
      <c r="S21" s="738"/>
      <c r="T21" s="319"/>
      <c r="U21" s="83"/>
      <c r="V21" s="123">
        <f>VLOOKUP(D21,Poeng!$B$10:$BC$252,Poeng!AG$1,FALSE)</f>
        <v>0</v>
      </c>
      <c r="W21" s="123" t="str">
        <f>VLOOKUP(D21,Poeng!$B$10:$BK$252,Poeng!BK$1,FALSE)</f>
        <v>N/A</v>
      </c>
      <c r="X21" s="81"/>
      <c r="Y21" s="80"/>
      <c r="Z21" s="738"/>
      <c r="AC21" s="107">
        <f t="shared" si="0"/>
        <v>1</v>
      </c>
      <c r="AD21" s="3" t="e">
        <f>VLOOKUP(K21,'Assessment Details'!$O$45:$P$48,2,FALSE)</f>
        <v>#N/A</v>
      </c>
      <c r="AE21" s="3" t="e">
        <f>VLOOKUP(R21,'Assessment Details'!$O$45:$P$48,2,FALSE)</f>
        <v>#N/A</v>
      </c>
      <c r="AF21" s="3" t="e">
        <f>VLOOKUP(Y21,'Assessment Details'!$O$45:$P$48,2,FALSE)</f>
        <v>#N/A</v>
      </c>
    </row>
    <row r="22" spans="1:58" x14ac:dyDescent="0.25">
      <c r="A22" s="1076">
        <v>13</v>
      </c>
      <c r="B22" s="1075" t="s">
        <v>62</v>
      </c>
      <c r="C22" s="1082" t="s">
        <v>94</v>
      </c>
      <c r="D22" s="19" t="s">
        <v>719</v>
      </c>
      <c r="E22" s="861" t="str">
        <f>VLOOKUP(D22,Poeng!$B$10:$R$252,Poeng!E$1,FALSE)</f>
        <v>BREEAM-NOR AP and BREEAM performance targets (stage 5 and 6)</v>
      </c>
      <c r="F22" s="122">
        <f>VLOOKUP(D22,Poeng!$B$10:$AB$252,Poeng!AB$1,FALSE)</f>
        <v>1</v>
      </c>
      <c r="G22" s="43"/>
      <c r="H22" s="123">
        <f>VLOOKUP(D22,Poeng!$B$10:$AE$252,Poeng!AE$1,FALSE)</f>
        <v>0</v>
      </c>
      <c r="I22" s="124" t="str">
        <f>VLOOKUP(D22,Poeng!$B$10:$BE$252,Poeng!BE$1,FALSE)</f>
        <v>N/A</v>
      </c>
      <c r="J22" s="80"/>
      <c r="K22" s="281"/>
      <c r="L22" s="796"/>
      <c r="M22" s="1097"/>
      <c r="N22" s="83"/>
      <c r="O22" s="123">
        <f>VLOOKUP(D22,Poeng!$B$10:$BC$252,Poeng!AF$1,FALSE)</f>
        <v>0</v>
      </c>
      <c r="P22" s="123" t="str">
        <f>VLOOKUP(D22,Poeng!$B$10:$BH$252,Poeng!BH$1,FALSE)</f>
        <v>N/A</v>
      </c>
      <c r="Q22" s="744"/>
      <c r="R22" s="745"/>
      <c r="S22" s="738"/>
      <c r="T22" s="319"/>
      <c r="U22" s="83"/>
      <c r="V22" s="123">
        <f>VLOOKUP(D22,Poeng!$B$10:$BC$252,Poeng!AG$1,FALSE)</f>
        <v>0</v>
      </c>
      <c r="W22" s="123" t="str">
        <f>VLOOKUP(D22,Poeng!$B$10:$BK$252,Poeng!BK$1,FALSE)</f>
        <v>N/A</v>
      </c>
      <c r="X22" s="81"/>
      <c r="Y22" s="80"/>
      <c r="Z22" s="738"/>
      <c r="AC22" s="107">
        <f t="shared" si="0"/>
        <v>1</v>
      </c>
      <c r="AD22" s="3" t="e">
        <f>VLOOKUP(K22,'Assessment Details'!$O$45:$P$48,2,FALSE)</f>
        <v>#N/A</v>
      </c>
      <c r="AE22" s="3" t="e">
        <f>VLOOKUP(R22,'Assessment Details'!$O$45:$P$48,2,FALSE)</f>
        <v>#N/A</v>
      </c>
      <c r="AF22" s="3" t="e">
        <f>VLOOKUP(Y22,'Assessment Details'!$O$45:$P$48,2,FALSE)</f>
        <v>#N/A</v>
      </c>
    </row>
    <row r="23" spans="1:58" ht="30" x14ac:dyDescent="0.25">
      <c r="A23" s="1076">
        <v>14</v>
      </c>
      <c r="B23" s="1075" t="s">
        <v>62</v>
      </c>
      <c r="C23" s="1082" t="s">
        <v>94</v>
      </c>
      <c r="D23" s="19" t="s">
        <v>720</v>
      </c>
      <c r="E23" s="1071" t="str">
        <f>VLOOKUP(D23,Poeng!$B$10:$R$252,Poeng!E$1,FALSE)</f>
        <v>Considerate contruction: clean and tidy building process and checklist A1 (EU taxonomy requirement: criterion 5-6)</v>
      </c>
      <c r="F23" s="122">
        <f>VLOOKUP(D23,Poeng!$B$10:$AB$252,Poeng!AB$1,FALSE)</f>
        <v>1</v>
      </c>
      <c r="G23" s="43"/>
      <c r="H23" s="123">
        <f>VLOOKUP(D23,Poeng!$B$10:$AE$252,Poeng!AE$1,FALSE)</f>
        <v>0</v>
      </c>
      <c r="I23" s="124" t="str">
        <f>VLOOKUP(D23,Poeng!$B$10:$BE$252,Poeng!BE$1,FALSE)</f>
        <v>Unclassified</v>
      </c>
      <c r="J23" s="80"/>
      <c r="K23" s="281"/>
      <c r="L23" s="796"/>
      <c r="M23" s="1097"/>
      <c r="N23" s="83"/>
      <c r="O23" s="123">
        <f>VLOOKUP(D23,Poeng!$B$10:$BC$252,Poeng!AF$1,FALSE)</f>
        <v>0</v>
      </c>
      <c r="P23" s="123" t="str">
        <f>VLOOKUP(D23,Poeng!$B$10:$BH$252,Poeng!BH$1,FALSE)</f>
        <v>Unclassified</v>
      </c>
      <c r="Q23" s="744"/>
      <c r="R23" s="745"/>
      <c r="S23" s="738"/>
      <c r="T23" s="319"/>
      <c r="U23" s="83"/>
      <c r="V23" s="123">
        <f>VLOOKUP(D23,Poeng!$B$10:$BC$252,Poeng!AG$1,FALSE)</f>
        <v>0</v>
      </c>
      <c r="W23" s="123" t="str">
        <f>VLOOKUP(D23,Poeng!$B$10:$BK$252,Poeng!BK$1,FALSE)</f>
        <v>Unclassified</v>
      </c>
      <c r="X23" s="81"/>
      <c r="Y23" s="80"/>
      <c r="Z23" s="738"/>
      <c r="AC23" s="107">
        <f t="shared" si="0"/>
        <v>1</v>
      </c>
      <c r="AD23" s="3" t="e">
        <f>VLOOKUP(K23,'Assessment Details'!$O$45:$P$48,2,FALSE)</f>
        <v>#N/A</v>
      </c>
      <c r="AE23" s="3" t="e">
        <f>VLOOKUP(R23,'Assessment Details'!$O$45:$P$48,2,FALSE)</f>
        <v>#N/A</v>
      </c>
      <c r="AF23" s="3" t="e">
        <f>VLOOKUP(Y23,'Assessment Details'!$O$45:$P$48,2,FALSE)</f>
        <v>#N/A</v>
      </c>
    </row>
    <row r="24" spans="1:58" ht="30" x14ac:dyDescent="0.25">
      <c r="A24" s="1076">
        <v>15</v>
      </c>
      <c r="B24" s="1075" t="s">
        <v>62</v>
      </c>
      <c r="C24" s="1082" t="s">
        <v>94</v>
      </c>
      <c r="D24" s="19" t="s">
        <v>721</v>
      </c>
      <c r="E24" s="1071" t="str">
        <f>VLOOKUP(D24,Poeng!$B$10:$R$252,Poeng!E$1,FALSE)</f>
        <v>Considerate contruction: INSTA 800 and checklist A1 (EU taxonomy requirement: criterion 7-9)</v>
      </c>
      <c r="F24" s="122">
        <f>VLOOKUP(D24,Poeng!$B$10:$AB$252,Poeng!AB$1,FALSE)</f>
        <v>1</v>
      </c>
      <c r="G24" s="43"/>
      <c r="H24" s="123">
        <f>VLOOKUP(D24,Poeng!$B$10:$AE$252,Poeng!AE$1,FALSE)</f>
        <v>0</v>
      </c>
      <c r="I24" s="124" t="str">
        <f>VLOOKUP(D24,Poeng!$B$10:$BE$252,Poeng!BE$1,FALSE)</f>
        <v>Good</v>
      </c>
      <c r="J24" s="80"/>
      <c r="K24" s="281"/>
      <c r="L24" s="796"/>
      <c r="M24" s="1097"/>
      <c r="N24" s="83"/>
      <c r="O24" s="123">
        <f>VLOOKUP(D24,Poeng!$B$10:$BC$252,Poeng!AF$1,FALSE)</f>
        <v>0</v>
      </c>
      <c r="P24" s="123" t="str">
        <f>VLOOKUP(D24,Poeng!$B$10:$BH$252,Poeng!BH$1,FALSE)</f>
        <v>Good</v>
      </c>
      <c r="Q24" s="744"/>
      <c r="R24" s="745"/>
      <c r="S24" s="738"/>
      <c r="T24" s="319"/>
      <c r="U24" s="83"/>
      <c r="V24" s="123">
        <f>VLOOKUP(D24,Poeng!$B$10:$BC$252,Poeng!AG$1,FALSE)</f>
        <v>0</v>
      </c>
      <c r="W24" s="123" t="str">
        <f>VLOOKUP(D24,Poeng!$B$10:$BK$252,Poeng!BK$1,FALSE)</f>
        <v>Good</v>
      </c>
      <c r="X24" s="81"/>
      <c r="Y24" s="80"/>
      <c r="Z24" s="738"/>
      <c r="AC24" s="107">
        <f t="shared" si="0"/>
        <v>1</v>
      </c>
      <c r="AD24" s="3" t="e">
        <f>VLOOKUP(K24,'Assessment Details'!$O$45:$P$48,2,FALSE)</f>
        <v>#N/A</v>
      </c>
      <c r="AE24" s="3" t="e">
        <f>VLOOKUP(R24,'Assessment Details'!$O$45:$P$48,2,FALSE)</f>
        <v>#N/A</v>
      </c>
      <c r="AF24" s="3" t="e">
        <f>VLOOKUP(Y24,'Assessment Details'!$O$45:$P$48,2,FALSE)</f>
        <v>#N/A</v>
      </c>
    </row>
    <row r="25" spans="1:58" x14ac:dyDescent="0.25">
      <c r="A25" s="1076">
        <v>16</v>
      </c>
      <c r="B25" s="1075" t="s">
        <v>62</v>
      </c>
      <c r="C25" s="1082" t="s">
        <v>94</v>
      </c>
      <c r="D25" s="19" t="s">
        <v>910</v>
      </c>
      <c r="E25" s="861" t="str">
        <f>VLOOKUP(D25,Poeng!$B$10:$R$252,Poeng!E$1,FALSE)</f>
        <v>Energy consumption from activities on the construction site (step 2-4)</v>
      </c>
      <c r="F25" s="122">
        <f>VLOOKUP(D25,Poeng!$B$10:$AB$252,Poeng!AB$1,FALSE)</f>
        <v>1</v>
      </c>
      <c r="G25" s="43"/>
      <c r="H25" s="123">
        <f>VLOOKUP(D25,Poeng!$B$10:$AE$252,Poeng!AE$1,FALSE)</f>
        <v>0</v>
      </c>
      <c r="I25" s="124" t="str">
        <f>VLOOKUP(D25,Poeng!$B$10:$BE$252,Poeng!BE$1,FALSE)</f>
        <v>Very Good</v>
      </c>
      <c r="J25" s="80"/>
      <c r="K25" s="281"/>
      <c r="L25" s="796"/>
      <c r="M25" s="1097"/>
      <c r="N25" s="83"/>
      <c r="O25" s="123">
        <f>VLOOKUP(D25,Poeng!$B$10:$BC$252,Poeng!AF$1,FALSE)</f>
        <v>0</v>
      </c>
      <c r="P25" s="123" t="str">
        <f>VLOOKUP(D25,Poeng!$B$10:$BH$252,Poeng!BH$1,FALSE)</f>
        <v>Very Good</v>
      </c>
      <c r="Q25" s="744"/>
      <c r="R25" s="745"/>
      <c r="S25" s="738"/>
      <c r="T25" s="319"/>
      <c r="U25" s="83"/>
      <c r="V25" s="123">
        <f>VLOOKUP(D25,Poeng!$B$10:$BC$252,Poeng!AG$1,FALSE)</f>
        <v>0</v>
      </c>
      <c r="W25" s="123" t="str">
        <f>VLOOKUP(D25,Poeng!$B$10:$BK$252,Poeng!BK$1,FALSE)</f>
        <v>Very Good</v>
      </c>
      <c r="X25" s="81"/>
      <c r="Y25" s="80"/>
      <c r="Z25" s="738"/>
      <c r="AC25" s="107">
        <f t="shared" si="0"/>
        <v>1</v>
      </c>
      <c r="AD25" s="3" t="e">
        <f>VLOOKUP(K25,'Assessment Details'!$O$45:$P$48,2,FALSE)</f>
        <v>#N/A</v>
      </c>
      <c r="AE25" s="3" t="e">
        <f>VLOOKUP(R25,'Assessment Details'!$O$45:$P$48,2,FALSE)</f>
        <v>#N/A</v>
      </c>
      <c r="AF25" s="3" t="e">
        <f>VLOOKUP(Y25,'Assessment Details'!$O$45:$P$48,2,FALSE)</f>
        <v>#N/A</v>
      </c>
    </row>
    <row r="26" spans="1:58" x14ac:dyDescent="0.25">
      <c r="A26" s="1076">
        <v>17</v>
      </c>
      <c r="B26" s="1075" t="s">
        <v>62</v>
      </c>
      <c r="C26" s="1082" t="s">
        <v>94</v>
      </c>
      <c r="D26" s="19" t="s">
        <v>911</v>
      </c>
      <c r="E26" s="861" t="str">
        <f>VLOOKUP(D26,Poeng!$B$10:$R$252,Poeng!E$1,FALSE)</f>
        <v>Energy consumption from transport of masses and waste (step 2-4)</v>
      </c>
      <c r="F26" s="122">
        <f>VLOOKUP(D26,Poeng!$B$10:$AB$252,Poeng!AB$1,FALSE)</f>
        <v>2</v>
      </c>
      <c r="G26" s="43"/>
      <c r="H26" s="123">
        <f>VLOOKUP(D26,Poeng!$B$10:$AE$252,Poeng!AE$1,FALSE)</f>
        <v>0</v>
      </c>
      <c r="I26" s="124" t="str">
        <f>VLOOKUP(D26,Poeng!$B$10:$BE$252,Poeng!BE$1,FALSE)</f>
        <v>Very Good</v>
      </c>
      <c r="J26" s="80"/>
      <c r="K26" s="281"/>
      <c r="L26" s="796"/>
      <c r="M26" s="1097"/>
      <c r="N26" s="83"/>
      <c r="O26" s="123">
        <f>VLOOKUP(D26,Poeng!$B$10:$BC$252,Poeng!AF$1,FALSE)</f>
        <v>0</v>
      </c>
      <c r="P26" s="123" t="str">
        <f>VLOOKUP(D26,Poeng!$B$10:$BH$252,Poeng!BH$1,FALSE)</f>
        <v>Very Good</v>
      </c>
      <c r="Q26" s="744"/>
      <c r="R26" s="745"/>
      <c r="S26" s="738"/>
      <c r="T26" s="319"/>
      <c r="U26" s="83"/>
      <c r="V26" s="123">
        <f>VLOOKUP(D26,Poeng!$B$10:$BC$252,Poeng!AG$1,FALSE)</f>
        <v>0</v>
      </c>
      <c r="W26" s="123" t="str">
        <f>VLOOKUP(D26,Poeng!$B$10:$BK$252,Poeng!BK$1,FALSE)</f>
        <v>Very Good</v>
      </c>
      <c r="X26" s="81"/>
      <c r="Y26" s="80"/>
      <c r="Z26" s="738"/>
      <c r="AC26" s="107">
        <f t="shared" si="0"/>
        <v>1</v>
      </c>
      <c r="AD26" s="3" t="e">
        <f>VLOOKUP(K26,'Assessment Details'!$O$45:$P$48,2,FALSE)</f>
        <v>#N/A</v>
      </c>
      <c r="AE26" s="3" t="e">
        <f>VLOOKUP(R26,'Assessment Details'!$O$45:$P$48,2,FALSE)</f>
        <v>#N/A</v>
      </c>
      <c r="AF26" s="3" t="e">
        <f>VLOOKUP(Y26,'Assessment Details'!$O$45:$P$48,2,FALSE)</f>
        <v>#N/A</v>
      </c>
    </row>
    <row r="27" spans="1:58" x14ac:dyDescent="0.25">
      <c r="A27" s="1076">
        <v>18</v>
      </c>
      <c r="B27" s="1075" t="s">
        <v>62</v>
      </c>
      <c r="C27" s="924" t="s">
        <v>95</v>
      </c>
      <c r="D27" s="824" t="s">
        <v>95</v>
      </c>
      <c r="E27" s="860" t="str">
        <f>VLOOKUP(D27,Poeng!$B$10:$R$252,Poeng!E$1,FALSE)</f>
        <v>Man 04 Commissioning and handover</v>
      </c>
      <c r="F27" s="865">
        <f>VLOOKUP(D27,Poeng!$B$10:$AB$252,Poeng!AB$1,FALSE)</f>
        <v>3</v>
      </c>
      <c r="G27" s="1001"/>
      <c r="H27" s="866" t="str">
        <f>VLOOKUP(D27,Poeng!$B$10:$AI$252,Poeng!AI$1,FALSE)&amp;" c. "&amp;ROUND(VLOOKUP(D27,Poeng!$B$10:$AE$252,Poeng!AE$1,FALSE)*100,1)&amp;" %"</f>
        <v>0 c. 0 %</v>
      </c>
      <c r="I27" s="924" t="str">
        <f>VLOOKUP(D27,Poeng!$B$10:$BE$252,Poeng!BE$1,FALSE)</f>
        <v>N/A</v>
      </c>
      <c r="J27" s="80"/>
      <c r="K27" s="281"/>
      <c r="L27" s="796"/>
      <c r="M27" s="816"/>
      <c r="N27" s="1001"/>
      <c r="O27" s="877" t="str">
        <f>VLOOKUP(D27,Poeng!$B$10:$BC$252,Poeng!AJ$1,FALSE)&amp;" c. "&amp;ROUND(VLOOKUP(D27,Poeng!$B$10:$BC$252,Poeng!AF$1,FALSE)*100,1)&amp;" %"</f>
        <v>0 c. 0 %</v>
      </c>
      <c r="P27" s="123" t="str">
        <f>VLOOKUP(D27,Poeng!$B$10:$BH$252,Poeng!BH$1,FALSE)</f>
        <v>N/A</v>
      </c>
      <c r="Q27" s="744"/>
      <c r="R27" s="745"/>
      <c r="S27" s="738"/>
      <c r="T27" s="319"/>
      <c r="U27" s="1001"/>
      <c r="V27" s="877" t="str">
        <f>VLOOKUP(D27,Poeng!$B$10:$BC$252,Poeng!AK$1,FALSE)&amp;" c. "&amp;ROUND(VLOOKUP(D27,Poeng!$B$10:$BC$252,Poeng!AG$1,FALSE)*100,1)&amp;" %"</f>
        <v>0 c. 0 %</v>
      </c>
      <c r="W27" s="123" t="str">
        <f>VLOOKUP(D27,Poeng!$B$10:$BK$252,Poeng!BK$1,FALSE)</f>
        <v>N/A</v>
      </c>
      <c r="X27" s="81"/>
      <c r="Y27" s="80"/>
      <c r="Z27" s="738"/>
      <c r="AA27" s="133"/>
      <c r="AB27" s="640" t="s">
        <v>13</v>
      </c>
      <c r="AC27" s="107">
        <f t="shared" si="0"/>
        <v>1</v>
      </c>
      <c r="AD27" s="3" t="e">
        <f>VLOOKUP(K27,'Assessment Details'!$O$45:$P$48,2,FALSE)</f>
        <v>#N/A</v>
      </c>
      <c r="AE27" s="3" t="e">
        <f>VLOOKUP(R27,'Assessment Details'!$O$45:$P$48,2,FALSE)</f>
        <v>#N/A</v>
      </c>
      <c r="AF27" s="3" t="e">
        <f>VLOOKUP(Y27,'Assessment Details'!$O$45:$P$48,2,FALSE)</f>
        <v>#N/A</v>
      </c>
      <c r="AI27" s="70"/>
      <c r="AJ27" s="670" t="s">
        <v>396</v>
      </c>
      <c r="AK27" s="648" t="s">
        <v>406</v>
      </c>
      <c r="AL27" s="648" t="s">
        <v>407</v>
      </c>
      <c r="AM27" s="648" t="s">
        <v>408</v>
      </c>
      <c r="AN27" s="70"/>
      <c r="AO27" s="70"/>
      <c r="AP27" s="70"/>
      <c r="AR27" s="1" t="s">
        <v>13</v>
      </c>
      <c r="AS27" s="23" t="str">
        <f t="shared" si="3"/>
        <v>N/A</v>
      </c>
      <c r="AT27" s="23" t="str">
        <f t="shared" si="1"/>
        <v>N/A</v>
      </c>
      <c r="AU27" s="23" t="str">
        <f t="shared" si="2"/>
        <v>N/A</v>
      </c>
      <c r="AV27" s="23"/>
      <c r="AW27" s="23"/>
      <c r="AX27" s="23"/>
      <c r="AY27" s="18"/>
      <c r="AZ27" s="640"/>
      <c r="BA27" s="18"/>
      <c r="BB27" s="18"/>
      <c r="BC27" s="18"/>
      <c r="BD27" s="18"/>
      <c r="BE27" s="18"/>
      <c r="BF27" s="18"/>
    </row>
    <row r="28" spans="1:58" x14ac:dyDescent="0.25">
      <c r="A28" s="1076">
        <v>19</v>
      </c>
      <c r="B28" s="1075" t="s">
        <v>62</v>
      </c>
      <c r="C28" s="1082" t="s">
        <v>95</v>
      </c>
      <c r="D28" s="19" t="s">
        <v>722</v>
      </c>
      <c r="E28" s="861" t="str">
        <f>VLOOKUP(D28,Poeng!$B$10:$R$252,Poeng!E$1,FALSE)</f>
        <v xml:space="preserve">Commissioning - testing schedule and responsibilities </v>
      </c>
      <c r="F28" s="122">
        <f>VLOOKUP(D28,Poeng!$B$10:$AB$252,Poeng!AB$1,FALSE)</f>
        <v>1</v>
      </c>
      <c r="G28" s="43"/>
      <c r="H28" s="123">
        <f>VLOOKUP(D28,Poeng!$B$10:$AE$252,Poeng!AE$1,FALSE)</f>
        <v>0</v>
      </c>
      <c r="I28" s="124" t="str">
        <f>VLOOKUP(D28,Poeng!$B$10:$BE$252,Poeng!BE$1,FALSE)</f>
        <v>Unclassified</v>
      </c>
      <c r="J28" s="80"/>
      <c r="K28" s="281"/>
      <c r="L28" s="796"/>
      <c r="M28" s="1097"/>
      <c r="N28" s="83"/>
      <c r="O28" s="123">
        <f>VLOOKUP(D28,Poeng!$B$10:$BC$252,Poeng!AF$1,FALSE)</f>
        <v>0</v>
      </c>
      <c r="P28" s="123" t="str">
        <f>VLOOKUP(D28,Poeng!$B$10:$BH$252,Poeng!BH$1,FALSE)</f>
        <v>Unclassified</v>
      </c>
      <c r="Q28" s="744"/>
      <c r="R28" s="745"/>
      <c r="S28" s="738"/>
      <c r="T28" s="319"/>
      <c r="U28" s="83"/>
      <c r="V28" s="123">
        <f>VLOOKUP(D28,Poeng!$B$10:$BC$252,Poeng!AG$1,FALSE)</f>
        <v>0</v>
      </c>
      <c r="W28" s="123" t="str">
        <f>VLOOKUP(D28,Poeng!$B$10:$BK$252,Poeng!BK$1,FALSE)</f>
        <v>Unclassified</v>
      </c>
      <c r="X28" s="81"/>
      <c r="Y28" s="80"/>
      <c r="Z28" s="738"/>
      <c r="AC28" s="107">
        <f t="shared" si="0"/>
        <v>1</v>
      </c>
      <c r="AD28" s="3" t="e">
        <f>VLOOKUP(K28,'Assessment Details'!$O$45:$P$48,2,FALSE)</f>
        <v>#N/A</v>
      </c>
      <c r="AE28" s="3" t="e">
        <f>VLOOKUP(R28,'Assessment Details'!$O$45:$P$48,2,FALSE)</f>
        <v>#N/A</v>
      </c>
      <c r="AF28" s="3" t="e">
        <f>VLOOKUP(Y28,'Assessment Details'!$O$45:$P$48,2,FALSE)</f>
        <v>#N/A</v>
      </c>
    </row>
    <row r="29" spans="1:58" x14ac:dyDescent="0.25">
      <c r="A29" s="1076">
        <v>20</v>
      </c>
      <c r="B29" s="1075" t="s">
        <v>62</v>
      </c>
      <c r="C29" s="1082" t="s">
        <v>95</v>
      </c>
      <c r="D29" s="19" t="s">
        <v>723</v>
      </c>
      <c r="E29" s="861" t="str">
        <f>VLOOKUP(D29,Poeng!$B$10:$R$252,Poeng!E$1,FALSE)</f>
        <v>Commissioning - design, preperation and implementation</v>
      </c>
      <c r="F29" s="122">
        <f>VLOOKUP(D29,Poeng!$B$10:$AB$252,Poeng!AB$1,FALSE)</f>
        <v>1</v>
      </c>
      <c r="G29" s="43"/>
      <c r="H29" s="123">
        <f>VLOOKUP(D29,Poeng!$B$10:$AE$252,Poeng!AE$1,FALSE)</f>
        <v>0</v>
      </c>
      <c r="I29" s="124" t="str">
        <f>VLOOKUP(D29,Poeng!$B$10:$BE$252,Poeng!BE$1,FALSE)</f>
        <v>N/A</v>
      </c>
      <c r="J29" s="80"/>
      <c r="K29" s="281"/>
      <c r="L29" s="796"/>
      <c r="M29" s="1097"/>
      <c r="N29" s="83"/>
      <c r="O29" s="123">
        <f>VLOOKUP(D29,Poeng!$B$10:$BC$252,Poeng!AF$1,FALSE)</f>
        <v>0</v>
      </c>
      <c r="P29" s="123" t="str">
        <f>VLOOKUP(D29,Poeng!$B$10:$BH$252,Poeng!BH$1,FALSE)</f>
        <v>N/A</v>
      </c>
      <c r="Q29" s="744"/>
      <c r="R29" s="745"/>
      <c r="S29" s="738"/>
      <c r="T29" s="319"/>
      <c r="U29" s="83"/>
      <c r="V29" s="123">
        <f>VLOOKUP(D29,Poeng!$B$10:$BC$252,Poeng!AG$1,FALSE)</f>
        <v>0</v>
      </c>
      <c r="W29" s="123" t="str">
        <f>VLOOKUP(D29,Poeng!$B$10:$BK$252,Poeng!BK$1,FALSE)</f>
        <v>N/A</v>
      </c>
      <c r="X29" s="81"/>
      <c r="Y29" s="80"/>
      <c r="Z29" s="738"/>
      <c r="AC29" s="107">
        <f t="shared" si="0"/>
        <v>1</v>
      </c>
      <c r="AD29" s="3" t="e">
        <f>VLOOKUP(K29,'Assessment Details'!$O$45:$P$48,2,FALSE)</f>
        <v>#N/A</v>
      </c>
      <c r="AE29" s="3" t="e">
        <f>VLOOKUP(R29,'Assessment Details'!$O$45:$P$48,2,FALSE)</f>
        <v>#N/A</v>
      </c>
      <c r="AF29" s="3" t="e">
        <f>VLOOKUP(Y29,'Assessment Details'!$O$45:$P$48,2,FALSE)</f>
        <v>#N/A</v>
      </c>
    </row>
    <row r="30" spans="1:58" x14ac:dyDescent="0.25">
      <c r="A30" s="1076">
        <v>21</v>
      </c>
      <c r="B30" s="1075" t="s">
        <v>62</v>
      </c>
      <c r="C30" s="1082" t="s">
        <v>95</v>
      </c>
      <c r="D30" s="19" t="s">
        <v>724</v>
      </c>
      <c r="E30" s="861" t="str">
        <f>VLOOKUP(D30,Poeng!$B$10:$R$252,Poeng!E$1,FALSE)</f>
        <v>Prepare for good handover</v>
      </c>
      <c r="F30" s="122">
        <f>VLOOKUP(D30,Poeng!$B$10:$AB$252,Poeng!AB$1,FALSE)</f>
        <v>1</v>
      </c>
      <c r="G30" s="43"/>
      <c r="H30" s="123">
        <f>VLOOKUP(D30,Poeng!$B$10:$AE$252,Poeng!AE$1,FALSE)</f>
        <v>0</v>
      </c>
      <c r="I30" s="124" t="str">
        <f>VLOOKUP(D30,Poeng!$B$10:$BE$252,Poeng!BE$1,FALSE)</f>
        <v>Good</v>
      </c>
      <c r="J30" s="80"/>
      <c r="K30" s="281"/>
      <c r="L30" s="796"/>
      <c r="M30" s="1097"/>
      <c r="N30" s="83"/>
      <c r="O30" s="123">
        <f>VLOOKUP(D30,Poeng!$B$10:$BC$252,Poeng!AF$1,FALSE)</f>
        <v>0</v>
      </c>
      <c r="P30" s="123" t="str">
        <f>VLOOKUP(D30,Poeng!$B$10:$BH$252,Poeng!BH$1,FALSE)</f>
        <v>Good</v>
      </c>
      <c r="Q30" s="744"/>
      <c r="R30" s="745"/>
      <c r="S30" s="738"/>
      <c r="T30" s="319"/>
      <c r="U30" s="83"/>
      <c r="V30" s="123">
        <f>VLOOKUP(D30,Poeng!$B$10:$BC$252,Poeng!AG$1,FALSE)</f>
        <v>0</v>
      </c>
      <c r="W30" s="123" t="str">
        <f>VLOOKUP(D30,Poeng!$B$10:$BK$252,Poeng!BK$1,FALSE)</f>
        <v>Good</v>
      </c>
      <c r="X30" s="81"/>
      <c r="Y30" s="80"/>
      <c r="Z30" s="738"/>
      <c r="AC30" s="107">
        <f t="shared" si="0"/>
        <v>1</v>
      </c>
      <c r="AD30" s="3" t="e">
        <f>VLOOKUP(K30,'Assessment Details'!$O$45:$P$48,2,FALSE)</f>
        <v>#N/A</v>
      </c>
      <c r="AE30" s="3" t="e">
        <f>VLOOKUP(R30,'Assessment Details'!$O$45:$P$48,2,FALSE)</f>
        <v>#N/A</v>
      </c>
      <c r="AF30" s="3" t="e">
        <f>VLOOKUP(Y30,'Assessment Details'!$O$45:$P$48,2,FALSE)</f>
        <v>#N/A</v>
      </c>
    </row>
    <row r="31" spans="1:58" x14ac:dyDescent="0.25">
      <c r="A31" s="1076">
        <v>22</v>
      </c>
      <c r="B31" s="1075" t="s">
        <v>62</v>
      </c>
      <c r="C31" s="924" t="s">
        <v>96</v>
      </c>
      <c r="D31" s="824" t="s">
        <v>96</v>
      </c>
      <c r="E31" s="860" t="str">
        <f>VLOOKUP(D31,Poeng!$B$10:$R$252,Poeng!E$1,FALSE)</f>
        <v>Man 05 Aftercare</v>
      </c>
      <c r="F31" s="865">
        <f>VLOOKUP(D31,Poeng!$B$10:$AB$252,Poeng!AB$1,FALSE)</f>
        <v>3</v>
      </c>
      <c r="G31" s="1001"/>
      <c r="H31" s="866" t="str">
        <f>VLOOKUP(D31,Poeng!$B$10:$AI$252,Poeng!AI$1,FALSE)&amp;" c. "&amp;ROUND(VLOOKUP(D31,Poeng!$B$10:$AE$252,Poeng!AE$1,FALSE)*100,1)&amp;" %"</f>
        <v>0 c. 0 %</v>
      </c>
      <c r="I31" s="924" t="str">
        <f>VLOOKUP(D31,Poeng!$B$10:$BE$252,Poeng!BE$1,FALSE)</f>
        <v>N/A</v>
      </c>
      <c r="J31" s="80"/>
      <c r="K31" s="281"/>
      <c r="L31" s="796"/>
      <c r="M31" s="816"/>
      <c r="N31" s="1001"/>
      <c r="O31" s="877" t="str">
        <f>VLOOKUP(D31,Poeng!$B$10:$BC$252,Poeng!AJ$1,FALSE)&amp;" c. "&amp;ROUND(VLOOKUP(D31,Poeng!$B$10:$BC$252,Poeng!AF$1,FALSE)*100,1)&amp;" %"</f>
        <v>0 c. 0 %</v>
      </c>
      <c r="P31" s="123" t="str">
        <f>VLOOKUP(D31,Poeng!$B$10:$BH$252,Poeng!BH$1,FALSE)</f>
        <v>N/A</v>
      </c>
      <c r="Q31" s="744"/>
      <c r="R31" s="745"/>
      <c r="S31" s="738"/>
      <c r="T31" s="319"/>
      <c r="U31" s="1001"/>
      <c r="V31" s="877" t="str">
        <f>VLOOKUP(D31,Poeng!$B$10:$BC$252,Poeng!AK$1,FALSE)&amp;" c. "&amp;ROUND(VLOOKUP(D31,Poeng!$B$10:$BC$252,Poeng!AG$1,FALSE)*100,1)&amp;" %"</f>
        <v>0 c. 0 %</v>
      </c>
      <c r="W31" s="123" t="str">
        <f>VLOOKUP(D31,Poeng!$B$10:$BK$252,Poeng!BK$1,FALSE)</f>
        <v>N/A</v>
      </c>
      <c r="X31" s="81"/>
      <c r="Y31" s="80"/>
      <c r="Z31" s="738"/>
      <c r="AA31" s="133"/>
      <c r="AB31" s="640" t="s">
        <v>13</v>
      </c>
      <c r="AC31" s="107">
        <f t="shared" si="0"/>
        <v>1</v>
      </c>
      <c r="AD31" s="3" t="e">
        <f>VLOOKUP(K31,'Assessment Details'!$O$45:$P$48,2,FALSE)</f>
        <v>#N/A</v>
      </c>
      <c r="AE31" s="3" t="e">
        <f>VLOOKUP(R31,'Assessment Details'!$O$45:$P$48,2,FALSE)</f>
        <v>#N/A</v>
      </c>
      <c r="AF31" s="3" t="e">
        <f>VLOOKUP(Y31,'Assessment Details'!$O$45:$P$48,2,FALSE)</f>
        <v>#N/A</v>
      </c>
      <c r="AG31" s="27"/>
      <c r="AI31" s="70"/>
      <c r="AJ31" s="670" t="s">
        <v>309</v>
      </c>
      <c r="AK31" s="648" t="s">
        <v>406</v>
      </c>
      <c r="AL31" s="648" t="s">
        <v>408</v>
      </c>
      <c r="AM31" s="70"/>
      <c r="AN31" s="70"/>
      <c r="AO31" s="70"/>
      <c r="AP31" s="70"/>
      <c r="AR31" s="1" t="s">
        <v>13</v>
      </c>
      <c r="AS31" s="23" t="str">
        <f t="shared" si="3"/>
        <v>N/A</v>
      </c>
      <c r="AT31" s="23" t="str">
        <f t="shared" si="1"/>
        <v>N/A</v>
      </c>
      <c r="AU31" s="23" t="str">
        <f t="shared" si="2"/>
        <v>N/A</v>
      </c>
      <c r="AV31" s="23"/>
      <c r="AW31" s="23"/>
      <c r="AX31" s="23"/>
      <c r="AY31" s="18"/>
      <c r="AZ31" s="640"/>
      <c r="BA31" s="18"/>
      <c r="BB31" s="18"/>
      <c r="BC31" s="18"/>
      <c r="BD31" s="18"/>
      <c r="BE31" s="18"/>
      <c r="BF31" s="18"/>
    </row>
    <row r="32" spans="1:58" x14ac:dyDescent="0.25">
      <c r="A32" s="1076">
        <v>23</v>
      </c>
      <c r="B32" s="1075" t="s">
        <v>62</v>
      </c>
      <c r="C32" s="1082" t="s">
        <v>96</v>
      </c>
      <c r="D32" s="19" t="s">
        <v>725</v>
      </c>
      <c r="E32" s="861" t="str">
        <f>VLOOKUP(D32,Poeng!$B$10:$R$252,Poeng!E$1,FALSE)</f>
        <v>Aftercare support</v>
      </c>
      <c r="F32" s="122">
        <f>VLOOKUP(D32,Poeng!$B$10:$AB$252,Poeng!AB$1,FALSE)</f>
        <v>1</v>
      </c>
      <c r="G32" s="43"/>
      <c r="H32" s="123">
        <f>VLOOKUP(D32,Poeng!$B$10:$AE$252,Poeng!AE$1,FALSE)</f>
        <v>0</v>
      </c>
      <c r="I32" s="124" t="str">
        <f>VLOOKUP(D32,Poeng!$B$10:$BE$252,Poeng!BE$1,FALSE)</f>
        <v>N/A</v>
      </c>
      <c r="J32" s="80"/>
      <c r="K32" s="281"/>
      <c r="L32" s="796"/>
      <c r="M32" s="1097"/>
      <c r="N32" s="83"/>
      <c r="O32" s="123">
        <f>VLOOKUP(D32,Poeng!$B$10:$BC$252,Poeng!AF$1,FALSE)</f>
        <v>0</v>
      </c>
      <c r="P32" s="123" t="str">
        <f>VLOOKUP(D32,Poeng!$B$10:$BH$252,Poeng!BH$1,FALSE)</f>
        <v>N/A</v>
      </c>
      <c r="Q32" s="744"/>
      <c r="R32" s="745"/>
      <c r="S32" s="738"/>
      <c r="T32" s="319"/>
      <c r="U32" s="83"/>
      <c r="V32" s="123">
        <f>VLOOKUP(D32,Poeng!$B$10:$BC$252,Poeng!AG$1,FALSE)</f>
        <v>0</v>
      </c>
      <c r="W32" s="123" t="str">
        <f>VLOOKUP(D32,Poeng!$B$10:$BK$252,Poeng!BK$1,FALSE)</f>
        <v>N/A</v>
      </c>
      <c r="X32" s="81"/>
      <c r="Y32" s="80"/>
      <c r="Z32" s="738"/>
      <c r="AC32" s="107">
        <f t="shared" si="0"/>
        <v>1</v>
      </c>
      <c r="AD32" s="3" t="e">
        <f>VLOOKUP(K32,'Assessment Details'!$O$45:$P$48,2,FALSE)</f>
        <v>#N/A</v>
      </c>
      <c r="AE32" s="3" t="e">
        <f>VLOOKUP(R32,'Assessment Details'!$O$45:$P$48,2,FALSE)</f>
        <v>#N/A</v>
      </c>
      <c r="AF32" s="3" t="e">
        <f>VLOOKUP(Y32,'Assessment Details'!$O$45:$P$48,2,FALSE)</f>
        <v>#N/A</v>
      </c>
    </row>
    <row r="33" spans="1:58" x14ac:dyDescent="0.25">
      <c r="A33" s="1076">
        <v>24</v>
      </c>
      <c r="B33" s="1075" t="s">
        <v>62</v>
      </c>
      <c r="C33" s="1082" t="s">
        <v>96</v>
      </c>
      <c r="D33" s="19" t="s">
        <v>726</v>
      </c>
      <c r="E33" s="861" t="str">
        <f>VLOOKUP(D33,Poeng!$B$10:$R$252,Poeng!E$1,FALSE)</f>
        <v>Sesonal commisioning</v>
      </c>
      <c r="F33" s="122">
        <f>VLOOKUP(D33,Poeng!$B$10:$AB$252,Poeng!AB$1,FALSE)</f>
        <v>1</v>
      </c>
      <c r="G33" s="43"/>
      <c r="H33" s="123">
        <f>VLOOKUP(D33,Poeng!$B$10:$AE$252,Poeng!AE$1,FALSE)</f>
        <v>0</v>
      </c>
      <c r="I33" s="124" t="str">
        <f>VLOOKUP(D33,Poeng!$B$10:$BE$252,Poeng!BE$1,FALSE)</f>
        <v>Very Good</v>
      </c>
      <c r="J33" s="80"/>
      <c r="K33" s="281"/>
      <c r="L33" s="796"/>
      <c r="M33" s="1097"/>
      <c r="N33" s="83"/>
      <c r="O33" s="123">
        <f>VLOOKUP(D33,Poeng!$B$10:$BC$252,Poeng!AF$1,FALSE)</f>
        <v>0</v>
      </c>
      <c r="P33" s="123" t="str">
        <f>VLOOKUP(D33,Poeng!$B$10:$BH$252,Poeng!BH$1,FALSE)</f>
        <v>Very Good</v>
      </c>
      <c r="Q33" s="744"/>
      <c r="R33" s="745"/>
      <c r="S33" s="738"/>
      <c r="T33" s="319"/>
      <c r="U33" s="83"/>
      <c r="V33" s="123">
        <f>VLOOKUP(D33,Poeng!$B$10:$BC$252,Poeng!AG$1,FALSE)</f>
        <v>0</v>
      </c>
      <c r="W33" s="123" t="str">
        <f>VLOOKUP(D33,Poeng!$B$10:$BK$252,Poeng!BK$1,FALSE)</f>
        <v>Very Good</v>
      </c>
      <c r="X33" s="81"/>
      <c r="Y33" s="80"/>
      <c r="Z33" s="738"/>
      <c r="AC33" s="107">
        <f t="shared" si="0"/>
        <v>1</v>
      </c>
      <c r="AD33" s="3" t="e">
        <f>VLOOKUP(K33,'Assessment Details'!$O$45:$P$48,2,FALSE)</f>
        <v>#N/A</v>
      </c>
      <c r="AE33" s="3" t="e">
        <f>VLOOKUP(R33,'Assessment Details'!$O$45:$P$48,2,FALSE)</f>
        <v>#N/A</v>
      </c>
      <c r="AF33" s="3" t="e">
        <f>VLOOKUP(Y33,'Assessment Details'!$O$45:$P$48,2,FALSE)</f>
        <v>#N/A</v>
      </c>
    </row>
    <row r="34" spans="1:58" x14ac:dyDescent="0.25">
      <c r="A34" s="1076">
        <v>25</v>
      </c>
      <c r="B34" s="1075" t="s">
        <v>62</v>
      </c>
      <c r="C34" s="1082" t="s">
        <v>96</v>
      </c>
      <c r="D34" s="19" t="s">
        <v>727</v>
      </c>
      <c r="E34" s="861" t="str">
        <f>VLOOKUP(D34,Poeng!$B$10:$R$252,Poeng!E$1,FALSE)</f>
        <v>Post-occypancy evaluation</v>
      </c>
      <c r="F34" s="122">
        <f>VLOOKUP(D34,Poeng!$B$10:$AB$252,Poeng!AB$1,FALSE)</f>
        <v>1</v>
      </c>
      <c r="G34" s="43"/>
      <c r="H34" s="123">
        <f>VLOOKUP(D34,Poeng!$B$10:$AE$252,Poeng!AE$1,FALSE)</f>
        <v>0</v>
      </c>
      <c r="I34" s="124" t="str">
        <f>VLOOKUP(D34,Poeng!$B$10:$BE$252,Poeng!BE$1,FALSE)</f>
        <v>N/A</v>
      </c>
      <c r="J34" s="80"/>
      <c r="K34" s="281"/>
      <c r="L34" s="796"/>
      <c r="M34" s="1097"/>
      <c r="N34" s="83"/>
      <c r="O34" s="123">
        <f>VLOOKUP(D34,Poeng!$B$10:$BC$252,Poeng!AF$1,FALSE)</f>
        <v>0</v>
      </c>
      <c r="P34" s="123" t="str">
        <f>VLOOKUP(D34,Poeng!$B$10:$BH$252,Poeng!BH$1,FALSE)</f>
        <v>N/A</v>
      </c>
      <c r="Q34" s="744"/>
      <c r="R34" s="745"/>
      <c r="S34" s="738"/>
      <c r="T34" s="319"/>
      <c r="U34" s="83"/>
      <c r="V34" s="123">
        <f>VLOOKUP(D34,Poeng!$B$10:$BC$252,Poeng!AG$1,FALSE)</f>
        <v>0</v>
      </c>
      <c r="W34" s="123" t="str">
        <f>VLOOKUP(D34,Poeng!$B$10:$BK$252,Poeng!BK$1,FALSE)</f>
        <v>N/A</v>
      </c>
      <c r="X34" s="81"/>
      <c r="Y34" s="80"/>
      <c r="Z34" s="738"/>
      <c r="AC34" s="107">
        <f t="shared" si="0"/>
        <v>1</v>
      </c>
      <c r="AD34" s="3" t="e">
        <f>VLOOKUP(K34,'Assessment Details'!$O$45:$P$48,2,FALSE)</f>
        <v>#N/A</v>
      </c>
      <c r="AE34" s="3" t="e">
        <f>VLOOKUP(R34,'Assessment Details'!$O$45:$P$48,2,FALSE)</f>
        <v>#N/A</v>
      </c>
      <c r="AF34" s="3" t="e">
        <f>VLOOKUP(Y34,'Assessment Details'!$O$45:$P$48,2,FALSE)</f>
        <v>#N/A</v>
      </c>
    </row>
    <row r="35" spans="1:58" ht="15.75" thickBot="1" x14ac:dyDescent="0.3">
      <c r="A35" s="1076">
        <v>26</v>
      </c>
      <c r="B35" s="1075" t="s">
        <v>62</v>
      </c>
      <c r="C35" s="1083"/>
      <c r="D35" s="824" t="s">
        <v>882</v>
      </c>
      <c r="E35" s="320" t="s">
        <v>103</v>
      </c>
      <c r="F35" s="125">
        <f>Man_Credits</f>
        <v>21</v>
      </c>
      <c r="G35" s="925"/>
      <c r="H35" s="126">
        <f>Man_cont_tot</f>
        <v>0</v>
      </c>
      <c r="I35" s="867" t="str">
        <f>"Credits achieved: "&amp;Man_tot_user</f>
        <v>Credits achieved: 0</v>
      </c>
      <c r="J35" s="134"/>
      <c r="K35" s="282"/>
      <c r="L35" s="746"/>
      <c r="M35" s="815"/>
      <c r="N35" s="383"/>
      <c r="O35" s="126">
        <f>VLOOKUP(D35,Poeng!$B$10:$BC$252,Poeng!AF$1,FALSE)</f>
        <v>0</v>
      </c>
      <c r="P35" s="867" t="str">
        <f>"Credits achieved: "&amp;Man_d_user</f>
        <v>Credits achieved: 0</v>
      </c>
      <c r="Q35" s="747"/>
      <c r="R35" s="748"/>
      <c r="S35" s="746"/>
      <c r="T35" s="319"/>
      <c r="U35" s="383"/>
      <c r="V35" s="126">
        <f>VLOOKUP(D35,Poeng!$B$10:$BC$252,Poeng!AG$1,FALSE)</f>
        <v>0</v>
      </c>
      <c r="W35" s="867" t="str">
        <f>"Credits achieved: "&amp;Man_c_user</f>
        <v>Credits achieved: 0</v>
      </c>
      <c r="X35" s="382"/>
      <c r="Y35" s="135"/>
      <c r="Z35" s="746"/>
      <c r="AA35" s="133"/>
      <c r="AB35" s="641"/>
      <c r="AC35" s="107">
        <f t="shared" si="0"/>
        <v>1</v>
      </c>
      <c r="AD35" s="276">
        <v>0</v>
      </c>
      <c r="AE35" s="276">
        <v>0</v>
      </c>
      <c r="AF35" s="276">
        <v>0</v>
      </c>
      <c r="AG35" s="27"/>
      <c r="AI35" s="70"/>
      <c r="AJ35" s="670" t="s">
        <v>103</v>
      </c>
      <c r="AK35" s="70"/>
      <c r="AL35" s="70"/>
      <c r="AM35" s="70"/>
      <c r="AN35" s="70"/>
      <c r="AO35" s="70"/>
      <c r="AP35" s="70"/>
      <c r="AS35" s="23" t="str">
        <f t="shared" si="3"/>
        <v>N/A</v>
      </c>
      <c r="AT35" s="23" t="str">
        <f t="shared" si="1"/>
        <v>N/A</v>
      </c>
      <c r="AU35" s="23" t="str">
        <f t="shared" si="2"/>
        <v>N/A</v>
      </c>
      <c r="AV35" s="23"/>
      <c r="AW35" s="23"/>
      <c r="AX35" s="23"/>
      <c r="AY35" s="18"/>
      <c r="AZ35" s="641"/>
      <c r="BA35" s="18"/>
      <c r="BB35" s="18"/>
      <c r="BC35" s="18"/>
      <c r="BD35" s="18"/>
      <c r="BE35" s="18"/>
      <c r="BF35" s="18"/>
    </row>
    <row r="36" spans="1:58" x14ac:dyDescent="0.25">
      <c r="A36" s="1076">
        <v>27</v>
      </c>
      <c r="B36" s="1075" t="s">
        <v>62</v>
      </c>
      <c r="C36" s="322"/>
      <c r="D36" s="824"/>
      <c r="E36" s="321"/>
      <c r="F36" s="322"/>
      <c r="G36" s="323"/>
      <c r="H36" s="322"/>
      <c r="I36" s="322"/>
      <c r="J36" s="324"/>
      <c r="K36" s="323"/>
      <c r="L36" s="749"/>
      <c r="M36" s="815"/>
      <c r="N36" s="325"/>
      <c r="O36" s="325"/>
      <c r="P36" s="749"/>
      <c r="Q36" s="749"/>
      <c r="R36" s="750"/>
      <c r="S36" s="1094"/>
      <c r="T36" s="326"/>
      <c r="U36" s="325"/>
      <c r="V36" s="325"/>
      <c r="W36" s="749"/>
      <c r="X36" s="324"/>
      <c r="Y36" s="325"/>
      <c r="Z36" s="1094"/>
      <c r="AA36" s="699"/>
      <c r="AB36" s="324"/>
      <c r="AC36" s="107">
        <f t="shared" si="0"/>
        <v>1</v>
      </c>
      <c r="AD36" s="278">
        <v>0</v>
      </c>
      <c r="AE36" s="278">
        <v>0</v>
      </c>
      <c r="AF36" s="278">
        <v>0</v>
      </c>
      <c r="AI36" s="70"/>
      <c r="AJ36" s="671"/>
      <c r="AK36" s="70"/>
      <c r="AL36" s="70"/>
      <c r="AM36" s="70"/>
      <c r="AN36" s="70"/>
      <c r="AO36" s="70"/>
      <c r="AP36" s="70"/>
      <c r="AS36" s="23" t="str">
        <f t="shared" si="3"/>
        <v>N/A</v>
      </c>
      <c r="AT36" s="23" t="str">
        <f t="shared" si="1"/>
        <v>N/A</v>
      </c>
      <c r="AU36" s="23" t="str">
        <f t="shared" si="2"/>
        <v>N/A</v>
      </c>
      <c r="AV36" s="23"/>
      <c r="AW36" s="23"/>
      <c r="AX36" s="23"/>
      <c r="AZ36" s="324"/>
    </row>
    <row r="37" spans="1:58" ht="18.75" x14ac:dyDescent="0.25">
      <c r="A37" s="1076">
        <v>28</v>
      </c>
      <c r="B37" s="1077" t="s">
        <v>65</v>
      </c>
      <c r="C37" s="1084"/>
      <c r="D37" s="824"/>
      <c r="E37" s="327" t="s">
        <v>45</v>
      </c>
      <c r="F37" s="315"/>
      <c r="G37" s="316"/>
      <c r="H37" s="315"/>
      <c r="I37" s="315"/>
      <c r="J37" s="328"/>
      <c r="K37" s="329"/>
      <c r="L37" s="741"/>
      <c r="M37" s="816"/>
      <c r="N37" s="333"/>
      <c r="O37" s="332"/>
      <c r="P37" s="742"/>
      <c r="Q37" s="742"/>
      <c r="R37" s="751"/>
      <c r="S37" s="743"/>
      <c r="T37" s="319"/>
      <c r="U37" s="333"/>
      <c r="V37" s="332"/>
      <c r="W37" s="742"/>
      <c r="X37" s="331"/>
      <c r="Y37" s="332"/>
      <c r="Z37" s="741"/>
      <c r="AA37" s="133"/>
      <c r="AB37" s="330"/>
      <c r="AC37" s="107">
        <f t="shared" si="0"/>
        <v>1</v>
      </c>
      <c r="AD37" s="275">
        <v>0</v>
      </c>
      <c r="AE37" s="275">
        <v>0</v>
      </c>
      <c r="AF37" s="275">
        <v>0</v>
      </c>
      <c r="AI37" s="70"/>
      <c r="AJ37" s="671" t="s">
        <v>45</v>
      </c>
      <c r="AK37" s="70"/>
      <c r="AL37" s="70"/>
      <c r="AM37" s="70"/>
      <c r="AN37" s="70"/>
      <c r="AO37" s="70"/>
      <c r="AP37" s="70"/>
      <c r="AS37" s="23" t="str">
        <f t="shared" si="3"/>
        <v>N/A</v>
      </c>
      <c r="AT37" s="23" t="str">
        <f t="shared" si="1"/>
        <v>N/A</v>
      </c>
      <c r="AU37" s="23" t="str">
        <f t="shared" si="2"/>
        <v>N/A</v>
      </c>
      <c r="AV37" s="23"/>
      <c r="AW37" s="23"/>
      <c r="AX37" s="23"/>
      <c r="AZ37" s="330"/>
    </row>
    <row r="38" spans="1:58" x14ac:dyDescent="0.25">
      <c r="A38" s="1076">
        <v>29</v>
      </c>
      <c r="B38" s="1077" t="s">
        <v>65</v>
      </c>
      <c r="C38" s="924" t="s">
        <v>117</v>
      </c>
      <c r="D38" s="824" t="s">
        <v>117</v>
      </c>
      <c r="E38" s="860" t="str">
        <f>VLOOKUP(D38,Poeng!$B$10:$R$252,Poeng!E$1,FALSE)</f>
        <v>Hea 01 Visual comfort</v>
      </c>
      <c r="F38" s="865">
        <f>VLOOKUP(D38,Poeng!$B$10:$AB$252,Poeng!AB$1,FALSE)</f>
        <v>7</v>
      </c>
      <c r="G38" s="1000"/>
      <c r="H38" s="866" t="str">
        <f>VLOOKUP(D38,Poeng!$B$10:$AI$252,Poeng!AI$1,FALSE)&amp;" c. "&amp;ROUND(VLOOKUP(D38,Poeng!$B$10:$AE$252,Poeng!AE$1,FALSE)*100,1)&amp;" %"</f>
        <v>0 c. 0 %</v>
      </c>
      <c r="I38" s="923" t="str">
        <f>VLOOKUP(D38,Poeng!$B$10:$BE$252,Poeng!BE$1,FALSE)</f>
        <v>N/A</v>
      </c>
      <c r="J38" s="874"/>
      <c r="K38" s="875"/>
      <c r="L38" s="876"/>
      <c r="M38" s="815"/>
      <c r="N38" s="1001"/>
      <c r="O38" s="877" t="str">
        <f>VLOOKUP(D38,Poeng!$B$10:$BC$252,Poeng!AJ$1,FALSE)&amp;" c. "&amp;ROUND(VLOOKUP(D38,Poeng!$B$10:$BC$252,Poeng!AF$1,FALSE)*100,1)&amp;" %"</f>
        <v>0 c. 0 %</v>
      </c>
      <c r="P38" s="123" t="str">
        <f>VLOOKUP(D38,Poeng!$B$10:$BH$252,Poeng!BH$1,FALSE)</f>
        <v>N/A</v>
      </c>
      <c r="Q38" s="744"/>
      <c r="R38" s="745"/>
      <c r="S38" s="738"/>
      <c r="T38" s="319"/>
      <c r="U38" s="1001"/>
      <c r="V38" s="877" t="str">
        <f>VLOOKUP(D38,Poeng!$B$10:$BC$252,Poeng!AK$1,FALSE)&amp;" c. "&amp;ROUND(VLOOKUP(D38,Poeng!$B$10:$BC$252,Poeng!AG$1,FALSE)*100,1)&amp;" %"</f>
        <v>0 c. 0 %</v>
      </c>
      <c r="W38" s="123" t="str">
        <f>VLOOKUP(D38,Poeng!$B$10:$BK$252,Poeng!BK$1,FALSE)</f>
        <v>N/A</v>
      </c>
      <c r="X38" s="81"/>
      <c r="Y38" s="80"/>
      <c r="Z38" s="738"/>
      <c r="AA38" s="133"/>
      <c r="AB38" s="683" t="s">
        <v>13</v>
      </c>
      <c r="AC38" s="107">
        <f t="shared" si="0"/>
        <v>1</v>
      </c>
      <c r="AD38" s="3" t="e">
        <f>VLOOKUP(K38,'Assessment Details'!$O$45:$P$48,2,FALSE)</f>
        <v>#N/A</v>
      </c>
      <c r="AE38" s="3" t="e">
        <f>VLOOKUP(R38,'Assessment Details'!$O$45:$P$48,2,FALSE)</f>
        <v>#N/A</v>
      </c>
      <c r="AF38" s="3" t="e">
        <f>VLOOKUP(Y38,'Assessment Details'!$O$45:$P$48,2,FALSE)</f>
        <v>#N/A</v>
      </c>
      <c r="AI38" s="70" t="str">
        <f>ais_ja</f>
        <v>Ja</v>
      </c>
      <c r="AJ38" s="671" t="s">
        <v>115</v>
      </c>
      <c r="AK38" s="651" t="s">
        <v>443</v>
      </c>
      <c r="AL38" s="651" t="s">
        <v>441</v>
      </c>
      <c r="AM38" s="651" t="s">
        <v>442</v>
      </c>
      <c r="AN38" s="651" t="s">
        <v>456</v>
      </c>
      <c r="AO38" s="651" t="s">
        <v>455</v>
      </c>
      <c r="AP38" s="651" t="s">
        <v>457</v>
      </c>
      <c r="AR38" s="1" t="str">
        <f>IF($AJ$8=ais_nei,AIS_NA,"No")</f>
        <v>No</v>
      </c>
      <c r="AS38" s="23" t="str">
        <f t="shared" ref="AS38:AX38" si="4">IF(OR($AJ$4=ais_nei,$AJ$8=ais_nei),AIS_NA,IF(AK38="",AIS_NA,AK38))</f>
        <v>N/A</v>
      </c>
      <c r="AT38" s="23" t="str">
        <f t="shared" si="4"/>
        <v>N/A</v>
      </c>
      <c r="AU38" s="23" t="str">
        <f t="shared" si="4"/>
        <v>N/A</v>
      </c>
      <c r="AV38" s="23" t="str">
        <f t="shared" si="4"/>
        <v>N/A</v>
      </c>
      <c r="AW38" s="23" t="str">
        <f t="shared" si="4"/>
        <v>N/A</v>
      </c>
      <c r="AX38" s="23" t="str">
        <f t="shared" si="4"/>
        <v>N/A</v>
      </c>
      <c r="AZ38" s="640"/>
    </row>
    <row r="39" spans="1:58" x14ac:dyDescent="0.25">
      <c r="A39" s="1076">
        <v>30</v>
      </c>
      <c r="B39" s="1077" t="s">
        <v>65</v>
      </c>
      <c r="C39" s="1082" t="str">
        <f>C38</f>
        <v>Hea 01</v>
      </c>
      <c r="D39" s="824" t="s">
        <v>728</v>
      </c>
      <c r="E39" s="861" t="str">
        <f>VLOOKUP(D39,Poeng!$B$10:$R$252,Poeng!E$1,FALSE)</f>
        <v>Pre-requisite: limitation of light flicker and stroboscopic effect</v>
      </c>
      <c r="F39" s="122" t="str">
        <f>VLOOKUP(D39,Poeng!$B$10:$AB$252,Poeng!AB$1,FALSE)</f>
        <v>Yes/No</v>
      </c>
      <c r="G39" s="43"/>
      <c r="H39" s="123" t="str">
        <f>VLOOKUP(D39,Poeng!$B$10:$AE$252,Poeng!AE$1,FALSE)</f>
        <v>-</v>
      </c>
      <c r="I39" s="124" t="str">
        <f>VLOOKUP(D39,Poeng!$B$10:$BE$252,Poeng!BE$1,FALSE)</f>
        <v>Unclassified</v>
      </c>
      <c r="J39" s="1119"/>
      <c r="K39" s="1120"/>
      <c r="L39" s="1121"/>
      <c r="M39" s="815"/>
      <c r="N39" s="83"/>
      <c r="O39" s="123" t="str">
        <f>VLOOKUP(D39,Poeng!$B$10:$BC$252,Poeng!AF$1,FALSE)</f>
        <v>-</v>
      </c>
      <c r="P39" s="123" t="str">
        <f>VLOOKUP(D39,Poeng!$B$10:$BH$252,Poeng!BH$1,FALSE)</f>
        <v>Unclassified</v>
      </c>
      <c r="Q39" s="744"/>
      <c r="R39" s="745"/>
      <c r="S39" s="738"/>
      <c r="T39" s="319"/>
      <c r="U39" s="83"/>
      <c r="V39" s="123" t="str">
        <f>VLOOKUP(D39,Poeng!$B$10:$BC$252,Poeng!AG$1,FALSE)</f>
        <v>-</v>
      </c>
      <c r="W39" s="123" t="str">
        <f>VLOOKUP(D39,Poeng!$B$10:$BK$252,Poeng!BK$1,FALSE)</f>
        <v>Unclassified</v>
      </c>
      <c r="X39" s="81"/>
      <c r="Y39" s="80"/>
      <c r="Z39" s="738"/>
      <c r="AA39" s="133"/>
      <c r="AB39" s="683"/>
      <c r="AC39" s="107">
        <f t="shared" ref="AC39" si="5">IF(F39="",1,IF(F39=0,2,1))</f>
        <v>1</v>
      </c>
      <c r="AD39" s="3" t="e">
        <f>VLOOKUP(K39,'Assessment Details'!$O$45:$P$48,2,FALSE)</f>
        <v>#N/A</v>
      </c>
      <c r="AE39" s="3" t="e">
        <f>VLOOKUP(R39,'Assessment Details'!$O$45:$P$48,2,FALSE)</f>
        <v>#N/A</v>
      </c>
      <c r="AF39" s="3" t="e">
        <f>VLOOKUP(Y39,'Assessment Details'!$O$45:$P$48,2,FALSE)</f>
        <v>#N/A</v>
      </c>
      <c r="AI39" s="70"/>
      <c r="AJ39" s="671"/>
      <c r="AK39" s="651"/>
      <c r="AL39" s="651"/>
      <c r="AM39" s="651"/>
      <c r="AN39" s="651"/>
      <c r="AO39" s="651"/>
      <c r="AP39" s="651"/>
      <c r="AS39" s="23"/>
      <c r="AT39" s="23"/>
      <c r="AU39" s="23"/>
      <c r="AV39" s="23"/>
      <c r="AW39" s="23"/>
      <c r="AX39" s="23"/>
      <c r="AZ39" s="640"/>
    </row>
    <row r="40" spans="1:58" x14ac:dyDescent="0.25">
      <c r="A40" s="1076">
        <v>31</v>
      </c>
      <c r="B40" s="1077" t="s">
        <v>65</v>
      </c>
      <c r="C40" s="1082" t="str">
        <f>C39</f>
        <v>Hea 01</v>
      </c>
      <c r="D40" s="824" t="s">
        <v>1030</v>
      </c>
      <c r="E40" s="861" t="str">
        <f>VLOOKUP(D40,Poeng!$B$10:$R$252,Poeng!E$1,FALSE)</f>
        <v>Pre-requisite: daylight assessments</v>
      </c>
      <c r="F40" s="122" t="str">
        <f>VLOOKUP(D40,Poeng!$B$10:$AB$252,Poeng!AB$1,FALSE)</f>
        <v>Yes/No</v>
      </c>
      <c r="G40" s="43"/>
      <c r="H40" s="123" t="str">
        <f>VLOOKUP(D40,Poeng!$B$10:$AE$252,Poeng!AE$1,FALSE)</f>
        <v>-</v>
      </c>
      <c r="I40" s="124" t="str">
        <f>VLOOKUP(D40,Poeng!$B$10:$BE$252,Poeng!BE$1,FALSE)</f>
        <v>Unclassified</v>
      </c>
      <c r="J40" s="1119"/>
      <c r="K40" s="1120"/>
      <c r="L40" s="1121"/>
      <c r="M40" s="815"/>
      <c r="N40" s="83"/>
      <c r="O40" s="123" t="str">
        <f>VLOOKUP(D40,Poeng!$B$10:$BC$252,Poeng!AF$1,FALSE)</f>
        <v>-</v>
      </c>
      <c r="P40" s="123" t="str">
        <f>VLOOKUP(D40,Poeng!$B$10:$BH$252,Poeng!BH$1,FALSE)</f>
        <v>Unclassified</v>
      </c>
      <c r="Q40" s="744"/>
      <c r="R40" s="745"/>
      <c r="S40" s="738"/>
      <c r="T40" s="319"/>
      <c r="U40" s="83"/>
      <c r="V40" s="123" t="str">
        <f>VLOOKUP(D40,Poeng!$B$10:$BC$252,Poeng!AG$1,FALSE)</f>
        <v>-</v>
      </c>
      <c r="W40" s="123" t="str">
        <f>VLOOKUP(D40,Poeng!$B$10:$BK$252,Poeng!BK$1,FALSE)</f>
        <v>Unclassified</v>
      </c>
      <c r="X40" s="81"/>
      <c r="Y40" s="80"/>
      <c r="Z40" s="738"/>
      <c r="AA40" s="133"/>
      <c r="AB40" s="683"/>
      <c r="AC40" s="107">
        <f t="shared" ref="AC40" si="6">IF(F40="",1,IF(F40=0,2,1))</f>
        <v>1</v>
      </c>
      <c r="AD40" s="3" t="e">
        <f>VLOOKUP(K40,'Assessment Details'!$O$45:$P$48,2,FALSE)</f>
        <v>#N/A</v>
      </c>
      <c r="AE40" s="3" t="e">
        <f>VLOOKUP(R40,'Assessment Details'!$O$45:$P$48,2,FALSE)</f>
        <v>#N/A</v>
      </c>
      <c r="AF40" s="3" t="e">
        <f>VLOOKUP(Y40,'Assessment Details'!$O$45:$P$48,2,FALSE)</f>
        <v>#N/A</v>
      </c>
      <c r="AI40" s="70"/>
      <c r="AJ40" s="671"/>
      <c r="AK40" s="651"/>
      <c r="AL40" s="651"/>
      <c r="AM40" s="651"/>
      <c r="AN40" s="651"/>
      <c r="AO40" s="651"/>
      <c r="AP40" s="651"/>
      <c r="AS40" s="23"/>
      <c r="AT40" s="23"/>
      <c r="AU40" s="23"/>
      <c r="AV40" s="23"/>
      <c r="AW40" s="23"/>
      <c r="AX40" s="23"/>
      <c r="AZ40" s="640"/>
    </row>
    <row r="41" spans="1:58" x14ac:dyDescent="0.25">
      <c r="A41" s="1076">
        <v>32</v>
      </c>
      <c r="B41" s="1077" t="s">
        <v>65</v>
      </c>
      <c r="C41" s="1082" t="str">
        <f>C38</f>
        <v>Hea 01</v>
      </c>
      <c r="D41" s="824" t="s">
        <v>729</v>
      </c>
      <c r="E41" s="861" t="str">
        <f>VLOOKUP(D41,Poeng!$B$10:$R$252,Poeng!E$1,FALSE)</f>
        <v>Daylighting</v>
      </c>
      <c r="F41" s="122">
        <f>VLOOKUP(D41,Poeng!$B$10:$AB$252,Poeng!AB$1,FALSE)</f>
        <v>3</v>
      </c>
      <c r="G41" s="43"/>
      <c r="H41" s="123">
        <f>VLOOKUP(D41,Poeng!$B$10:$AE$252,Poeng!AE$1,FALSE)</f>
        <v>0</v>
      </c>
      <c r="I41" s="124" t="str">
        <f>VLOOKUP(D41,Poeng!$B$10:$BE$252,Poeng!BE$1,FALSE)</f>
        <v>N/A</v>
      </c>
      <c r="J41" s="80"/>
      <c r="K41" s="281"/>
      <c r="L41" s="796"/>
      <c r="M41" s="816"/>
      <c r="N41" s="83"/>
      <c r="O41" s="123">
        <f>VLOOKUP(D41,Poeng!$B$10:$BC$252,Poeng!AF$1,FALSE)</f>
        <v>0</v>
      </c>
      <c r="P41" s="123" t="str">
        <f>VLOOKUP(D41,Poeng!$B$10:$BH$252,Poeng!BH$1,FALSE)</f>
        <v>N/A</v>
      </c>
      <c r="Q41" s="744"/>
      <c r="R41" s="745"/>
      <c r="S41" s="738"/>
      <c r="T41" s="319"/>
      <c r="U41" s="83"/>
      <c r="V41" s="123">
        <f>VLOOKUP(D41,Poeng!$B$10:$BC$252,Poeng!AG$1,FALSE)</f>
        <v>0</v>
      </c>
      <c r="W41" s="123" t="str">
        <f>VLOOKUP(D41,Poeng!$B$10:$BK$252,Poeng!BK$1,FALSE)</f>
        <v>N/A</v>
      </c>
      <c r="X41" s="81"/>
      <c r="Y41" s="80"/>
      <c r="Z41" s="738"/>
      <c r="AA41" s="133"/>
      <c r="AB41" s="683"/>
      <c r="AC41" s="107">
        <f t="shared" si="0"/>
        <v>1</v>
      </c>
      <c r="AD41" s="3" t="e">
        <f>VLOOKUP(K41,'Assessment Details'!$O$45:$P$48,2,FALSE)</f>
        <v>#N/A</v>
      </c>
      <c r="AE41" s="3" t="e">
        <f>VLOOKUP(R41,'Assessment Details'!$O$45:$P$48,2,FALSE)</f>
        <v>#N/A</v>
      </c>
      <c r="AF41" s="3" t="e">
        <f>VLOOKUP(Y41,'Assessment Details'!$O$45:$P$48,2,FALSE)</f>
        <v>#N/A</v>
      </c>
      <c r="AI41" s="70"/>
      <c r="AJ41" s="671"/>
      <c r="AK41" s="651"/>
      <c r="AL41" s="651"/>
      <c r="AM41" s="651"/>
      <c r="AN41" s="651"/>
      <c r="AO41" s="651"/>
      <c r="AP41" s="651"/>
      <c r="AS41" s="23"/>
      <c r="AT41" s="23"/>
      <c r="AU41" s="23"/>
      <c r="AV41" s="23"/>
      <c r="AW41" s="23"/>
      <c r="AX41" s="23"/>
      <c r="AZ41" s="640"/>
    </row>
    <row r="42" spans="1:58" x14ac:dyDescent="0.25">
      <c r="A42" s="1076">
        <v>33</v>
      </c>
      <c r="B42" s="1077" t="s">
        <v>65</v>
      </c>
      <c r="C42" s="1082" t="str">
        <f t="shared" ref="C42:C100" si="7">C41</f>
        <v>Hea 01</v>
      </c>
      <c r="D42" s="824" t="s">
        <v>730</v>
      </c>
      <c r="E42" s="861" t="str">
        <f>VLOOKUP(D42,Poeng!$B$10:$R$252,Poeng!E$1,FALSE)</f>
        <v xml:space="preserve">Control of glare from sunlight </v>
      </c>
      <c r="F42" s="122">
        <f>VLOOKUP(D42,Poeng!$B$10:$AB$252,Poeng!AB$1,FALSE)</f>
        <v>1</v>
      </c>
      <c r="G42" s="43"/>
      <c r="H42" s="123">
        <f>VLOOKUP(D42,Poeng!$B$10:$AE$252,Poeng!AE$1,FALSE)</f>
        <v>0</v>
      </c>
      <c r="I42" s="124" t="str">
        <f>VLOOKUP(D42,Poeng!$B$10:$BE$252,Poeng!BE$1,FALSE)</f>
        <v>N/A</v>
      </c>
      <c r="J42" s="80"/>
      <c r="K42" s="281"/>
      <c r="L42" s="796"/>
      <c r="M42" s="816"/>
      <c r="N42" s="83"/>
      <c r="O42" s="123">
        <f>VLOOKUP(D42,Poeng!$B$10:$BC$252,Poeng!AF$1,FALSE)</f>
        <v>0</v>
      </c>
      <c r="P42" s="123" t="str">
        <f>VLOOKUP(D42,Poeng!$B$10:$BH$252,Poeng!BH$1,FALSE)</f>
        <v>N/A</v>
      </c>
      <c r="Q42" s="744"/>
      <c r="R42" s="745"/>
      <c r="S42" s="738"/>
      <c r="T42" s="319"/>
      <c r="U42" s="83"/>
      <c r="V42" s="123">
        <f>VLOOKUP(D42,Poeng!$B$10:$BC$252,Poeng!AG$1,FALSE)</f>
        <v>0</v>
      </c>
      <c r="W42" s="123" t="str">
        <f>VLOOKUP(D42,Poeng!$B$10:$BK$252,Poeng!BK$1,FALSE)</f>
        <v>N/A</v>
      </c>
      <c r="X42" s="81"/>
      <c r="Y42" s="80"/>
      <c r="Z42" s="738"/>
      <c r="AA42" s="133"/>
      <c r="AB42" s="683"/>
      <c r="AC42" s="107">
        <f t="shared" si="0"/>
        <v>1</v>
      </c>
      <c r="AD42" s="3" t="e">
        <f>VLOOKUP(K42,'Assessment Details'!$O$45:$P$48,2,FALSE)</f>
        <v>#N/A</v>
      </c>
      <c r="AE42" s="3" t="e">
        <f>VLOOKUP(R42,'Assessment Details'!$O$45:$P$48,2,FALSE)</f>
        <v>#N/A</v>
      </c>
      <c r="AF42" s="3" t="e">
        <f>VLOOKUP(Y42,'Assessment Details'!$O$45:$P$48,2,FALSE)</f>
        <v>#N/A</v>
      </c>
      <c r="AI42" s="70"/>
      <c r="AJ42" s="671"/>
      <c r="AK42" s="651"/>
      <c r="AL42" s="651"/>
      <c r="AM42" s="651"/>
      <c r="AN42" s="651"/>
      <c r="AO42" s="651"/>
      <c r="AP42" s="651"/>
      <c r="AS42" s="23"/>
      <c r="AT42" s="23"/>
      <c r="AU42" s="23"/>
      <c r="AV42" s="23"/>
      <c r="AW42" s="23"/>
      <c r="AX42" s="23"/>
      <c r="AZ42" s="640"/>
    </row>
    <row r="43" spans="1:58" x14ac:dyDescent="0.25">
      <c r="A43" s="1076">
        <v>34</v>
      </c>
      <c r="B43" s="1077" t="s">
        <v>65</v>
      </c>
      <c r="C43" s="1082" t="str">
        <f t="shared" si="7"/>
        <v>Hea 01</v>
      </c>
      <c r="D43" s="824" t="s">
        <v>731</v>
      </c>
      <c r="E43" s="861" t="str">
        <f>VLOOKUP(D43,Poeng!$B$10:$R$252,Poeng!E$1,FALSE)</f>
        <v xml:space="preserve">View out </v>
      </c>
      <c r="F43" s="122">
        <f>VLOOKUP(D43,Poeng!$B$10:$AB$252,Poeng!AB$1,FALSE)</f>
        <v>1</v>
      </c>
      <c r="G43" s="43"/>
      <c r="H43" s="123">
        <f>VLOOKUP(D43,Poeng!$B$10:$AE$252,Poeng!AE$1,FALSE)</f>
        <v>0</v>
      </c>
      <c r="I43" s="124" t="str">
        <f>VLOOKUP(D43,Poeng!$B$10:$BE$252,Poeng!BE$1,FALSE)</f>
        <v>N/A</v>
      </c>
      <c r="J43" s="80"/>
      <c r="K43" s="281"/>
      <c r="L43" s="796"/>
      <c r="M43" s="816"/>
      <c r="N43" s="83"/>
      <c r="O43" s="123">
        <f>VLOOKUP(D43,Poeng!$B$10:$BC$252,Poeng!AF$1,FALSE)</f>
        <v>0</v>
      </c>
      <c r="P43" s="123" t="str">
        <f>VLOOKUP(D43,Poeng!$B$10:$BH$252,Poeng!BH$1,FALSE)</f>
        <v>N/A</v>
      </c>
      <c r="Q43" s="744"/>
      <c r="R43" s="745"/>
      <c r="S43" s="1095"/>
      <c r="T43" s="319"/>
      <c r="U43" s="83"/>
      <c r="V43" s="123">
        <f>VLOOKUP(D43,Poeng!$B$10:$BC$252,Poeng!AG$1,FALSE)</f>
        <v>0</v>
      </c>
      <c r="W43" s="123" t="str">
        <f>VLOOKUP(D43,Poeng!$B$10:$BK$252,Poeng!BK$1,FALSE)</f>
        <v>N/A</v>
      </c>
      <c r="X43" s="81"/>
      <c r="Y43" s="80"/>
      <c r="Z43" s="1095"/>
      <c r="AA43" s="133"/>
      <c r="AB43" s="683"/>
      <c r="AC43" s="107">
        <f t="shared" si="0"/>
        <v>1</v>
      </c>
      <c r="AD43" s="3" t="e">
        <f>VLOOKUP(K43,'Assessment Details'!$O$45:$P$48,2,FALSE)</f>
        <v>#N/A</v>
      </c>
      <c r="AE43" s="3" t="e">
        <f>VLOOKUP(R43,'Assessment Details'!$O$45:$P$48,2,FALSE)</f>
        <v>#N/A</v>
      </c>
      <c r="AF43" s="3" t="e">
        <f>VLOOKUP(Y43,'Assessment Details'!$O$45:$P$48,2,FALSE)</f>
        <v>#N/A</v>
      </c>
      <c r="AI43" s="70"/>
      <c r="AJ43" s="671"/>
      <c r="AK43" s="651"/>
      <c r="AL43" s="651"/>
      <c r="AM43" s="651"/>
      <c r="AN43" s="651"/>
      <c r="AO43" s="651"/>
      <c r="AP43" s="651"/>
      <c r="AS43" s="23"/>
      <c r="AT43" s="23"/>
      <c r="AU43" s="23"/>
      <c r="AV43" s="23"/>
      <c r="AW43" s="23"/>
      <c r="AX43" s="23"/>
      <c r="AZ43" s="640"/>
    </row>
    <row r="44" spans="1:58" x14ac:dyDescent="0.25">
      <c r="A44" s="1076">
        <v>35</v>
      </c>
      <c r="B44" s="1077" t="s">
        <v>65</v>
      </c>
      <c r="C44" s="1082" t="str">
        <f t="shared" si="7"/>
        <v>Hea 01</v>
      </c>
      <c r="D44" s="824" t="s">
        <v>732</v>
      </c>
      <c r="E44" s="861" t="str">
        <f>VLOOKUP(D44,Poeng!$B$10:$R$252,Poeng!E$1,FALSE)</f>
        <v xml:space="preserve">Sunlight </v>
      </c>
      <c r="F44" s="122">
        <f>VLOOKUP(D44,Poeng!$B$10:$AB$252,Poeng!AB$1,FALSE)</f>
        <v>1</v>
      </c>
      <c r="G44" s="43"/>
      <c r="H44" s="123">
        <f>VLOOKUP(D44,Poeng!$B$10:$AE$252,Poeng!AE$1,FALSE)</f>
        <v>0</v>
      </c>
      <c r="I44" s="124" t="str">
        <f>VLOOKUP(D44,Poeng!$B$10:$BE$252,Poeng!BE$1,FALSE)</f>
        <v>N/A</v>
      </c>
      <c r="J44" s="80"/>
      <c r="K44" s="281"/>
      <c r="L44" s="796"/>
      <c r="M44" s="816"/>
      <c r="N44" s="83"/>
      <c r="O44" s="123">
        <f>VLOOKUP(D44,Poeng!$B$10:$BC$252,Poeng!AF$1,FALSE)</f>
        <v>0</v>
      </c>
      <c r="P44" s="123" t="str">
        <f>VLOOKUP(D44,Poeng!$B$10:$BH$252,Poeng!BH$1,FALSE)</f>
        <v>N/A</v>
      </c>
      <c r="Q44" s="744"/>
      <c r="R44" s="745"/>
      <c r="S44" s="1095"/>
      <c r="T44" s="319"/>
      <c r="U44" s="83"/>
      <c r="V44" s="123">
        <f>VLOOKUP(D44,Poeng!$B$10:$BC$252,Poeng!AG$1,FALSE)</f>
        <v>0</v>
      </c>
      <c r="W44" s="123" t="str">
        <f>VLOOKUP(D44,Poeng!$B$10:$BK$252,Poeng!BK$1,FALSE)</f>
        <v>N/A</v>
      </c>
      <c r="X44" s="81"/>
      <c r="Y44" s="80"/>
      <c r="Z44" s="1095"/>
      <c r="AA44" s="133"/>
      <c r="AB44" s="683"/>
      <c r="AC44" s="107">
        <f t="shared" si="0"/>
        <v>1</v>
      </c>
      <c r="AD44" s="3" t="e">
        <f>VLOOKUP(K44,'Assessment Details'!$O$45:$P$48,2,FALSE)</f>
        <v>#N/A</v>
      </c>
      <c r="AE44" s="3" t="e">
        <f>VLOOKUP(R44,'Assessment Details'!$O$45:$P$48,2,FALSE)</f>
        <v>#N/A</v>
      </c>
      <c r="AF44" s="3" t="e">
        <f>VLOOKUP(Y44,'Assessment Details'!$O$45:$P$48,2,FALSE)</f>
        <v>#N/A</v>
      </c>
      <c r="AI44" s="70"/>
      <c r="AJ44" s="671"/>
      <c r="AK44" s="651"/>
      <c r="AL44" s="651"/>
      <c r="AM44" s="651"/>
      <c r="AN44" s="651"/>
      <c r="AO44" s="651"/>
      <c r="AP44" s="651"/>
      <c r="AS44" s="23"/>
      <c r="AT44" s="23"/>
      <c r="AU44" s="23"/>
      <c r="AV44" s="23"/>
      <c r="AW44" s="23"/>
      <c r="AX44" s="23"/>
      <c r="AZ44" s="640"/>
    </row>
    <row r="45" spans="1:58" x14ac:dyDescent="0.25">
      <c r="A45" s="1076">
        <v>36</v>
      </c>
      <c r="B45" s="1077" t="s">
        <v>65</v>
      </c>
      <c r="C45" s="1082" t="str">
        <f t="shared" si="7"/>
        <v>Hea 01</v>
      </c>
      <c r="D45" s="824" t="s">
        <v>956</v>
      </c>
      <c r="E45" s="861" t="str">
        <f>VLOOKUP(D45,Poeng!$B$10:$R$252,Poeng!E$1,FALSE)</f>
        <v xml:space="preserve">Internal and external lighting levels, zoning and control </v>
      </c>
      <c r="F45" s="122">
        <f>VLOOKUP(D45,Poeng!$B$10:$AB$252,Poeng!AB$1,FALSE)</f>
        <v>1</v>
      </c>
      <c r="G45" s="43"/>
      <c r="H45" s="123">
        <f>VLOOKUP(D45,Poeng!$B$10:$AE$252,Poeng!AE$1,FALSE)</f>
        <v>0</v>
      </c>
      <c r="I45" s="124" t="str">
        <f>VLOOKUP(D45,Poeng!$B$10:$BE$252,Poeng!BE$1,FALSE)</f>
        <v>N/A</v>
      </c>
      <c r="J45" s="80"/>
      <c r="K45" s="281"/>
      <c r="L45" s="796"/>
      <c r="M45" s="816"/>
      <c r="N45" s="83"/>
      <c r="O45" s="123">
        <f>VLOOKUP(D45,Poeng!$B$10:$BC$252,Poeng!AF$1,FALSE)</f>
        <v>0</v>
      </c>
      <c r="P45" s="123" t="str">
        <f>VLOOKUP(D45,Poeng!$B$10:$BH$252,Poeng!BH$1,FALSE)</f>
        <v>N/A</v>
      </c>
      <c r="Q45" s="744"/>
      <c r="R45" s="745"/>
      <c r="S45" s="738"/>
      <c r="T45" s="319"/>
      <c r="U45" s="83"/>
      <c r="V45" s="123">
        <f>VLOOKUP(D45,Poeng!$B$10:$BC$252,Poeng!AG$1,FALSE)</f>
        <v>0</v>
      </c>
      <c r="W45" s="123" t="str">
        <f>VLOOKUP(D45,Poeng!$B$10:$BK$252,Poeng!BK$1,FALSE)</f>
        <v>N/A</v>
      </c>
      <c r="X45" s="81"/>
      <c r="Y45" s="80"/>
      <c r="Z45" s="738"/>
      <c r="AA45" s="133"/>
      <c r="AB45" s="683"/>
      <c r="AC45" s="107">
        <f t="shared" si="0"/>
        <v>1</v>
      </c>
      <c r="AD45" s="3" t="e">
        <f>VLOOKUP(K45,'Assessment Details'!$O$45:$P$48,2,FALSE)</f>
        <v>#N/A</v>
      </c>
      <c r="AE45" s="3" t="e">
        <f>VLOOKUP(R45,'Assessment Details'!$O$45:$P$48,2,FALSE)</f>
        <v>#N/A</v>
      </c>
      <c r="AF45" s="3" t="e">
        <f>VLOOKUP(Y45,'Assessment Details'!$O$45:$P$48,2,FALSE)</f>
        <v>#N/A</v>
      </c>
      <c r="AI45" s="70"/>
      <c r="AJ45" s="671"/>
      <c r="AK45" s="651"/>
      <c r="AL45" s="651"/>
      <c r="AM45" s="651"/>
      <c r="AN45" s="651"/>
      <c r="AO45" s="651"/>
      <c r="AP45" s="651"/>
      <c r="AS45" s="23"/>
      <c r="AT45" s="23"/>
      <c r="AU45" s="23"/>
      <c r="AV45" s="23"/>
      <c r="AW45" s="23"/>
      <c r="AX45" s="23"/>
      <c r="AZ45" s="640"/>
    </row>
    <row r="46" spans="1:58" ht="14.25" customHeight="1" x14ac:dyDescent="0.25">
      <c r="A46" s="1076">
        <v>37</v>
      </c>
      <c r="B46" s="1077" t="s">
        <v>65</v>
      </c>
      <c r="C46" s="924" t="s">
        <v>118</v>
      </c>
      <c r="D46" s="824" t="s">
        <v>118</v>
      </c>
      <c r="E46" s="860" t="str">
        <f>VLOOKUP(D46,Poeng!$B$10:$R$252,Poeng!E$1,FALSE)</f>
        <v>Hea 02 Indoor air quality</v>
      </c>
      <c r="F46" s="865">
        <f>VLOOKUP(D46,Poeng!$B$10:$AB$252,Poeng!AB$1,FALSE)</f>
        <v>4</v>
      </c>
      <c r="G46" s="1001"/>
      <c r="H46" s="866" t="str">
        <f>VLOOKUP(D46,Poeng!$B$10:$AI$252,Poeng!AI$1,FALSE)&amp;" c. "&amp;ROUND(VLOOKUP(D46,Poeng!$B$10:$AE$252,Poeng!AE$1,FALSE)*100,1)&amp;" %"</f>
        <v>0 c. 0 %</v>
      </c>
      <c r="I46" s="924" t="str">
        <f>VLOOKUP(D46,Poeng!$B$10:$BE$252,Poeng!BE$1,FALSE)</f>
        <v>N/A</v>
      </c>
      <c r="J46" s="80"/>
      <c r="K46" s="281"/>
      <c r="L46" s="796"/>
      <c r="M46" s="816"/>
      <c r="N46" s="1001"/>
      <c r="O46" s="877" t="str">
        <f>VLOOKUP(D46,Poeng!$B$10:$BC$252,Poeng!AJ$1,FALSE)&amp;" c. "&amp;ROUND(VLOOKUP(D46,Poeng!$B$10:$BC$252,Poeng!AF$1,FALSE)*100,1)&amp;" %"</f>
        <v>0 c. 0 %</v>
      </c>
      <c r="P46" s="123" t="str">
        <f>VLOOKUP(D46,Poeng!$B$10:$BH$252,Poeng!BH$1,FALSE)</f>
        <v>N/A</v>
      </c>
      <c r="Q46" s="744"/>
      <c r="R46" s="745"/>
      <c r="S46" s="738"/>
      <c r="T46" s="319"/>
      <c r="U46" s="1001"/>
      <c r="V46" s="877" t="str">
        <f>VLOOKUP(D46,Poeng!$B$10:$BC$252,Poeng!AK$1,FALSE)&amp;" c. "&amp;ROUND(VLOOKUP(D46,Poeng!$B$10:$BC$252,Poeng!AG$1,FALSE)*100,1)&amp;" %"</f>
        <v>0 c. 0 %</v>
      </c>
      <c r="W46" s="123" t="str">
        <f>VLOOKUP(D46,Poeng!$B$10:$BK$252,Poeng!BK$1,FALSE)</f>
        <v>N/A</v>
      </c>
      <c r="X46" s="81"/>
      <c r="Y46" s="80"/>
      <c r="Z46" s="738"/>
      <c r="AA46" s="133"/>
      <c r="AB46" s="640" t="s">
        <v>446</v>
      </c>
      <c r="AC46" s="107">
        <f t="shared" si="0"/>
        <v>1</v>
      </c>
      <c r="AD46" s="3" t="e">
        <f>VLOOKUP(K46,'Assessment Details'!$O$45:$P$48,2,FALSE)</f>
        <v>#N/A</v>
      </c>
      <c r="AE46" s="3" t="e">
        <f>VLOOKUP(R46,'Assessment Details'!$O$45:$P$48,2,FALSE)</f>
        <v>#N/A</v>
      </c>
      <c r="AF46" s="3" t="e">
        <f>VLOOKUP(Y46,'Assessment Details'!$O$45:$P$48,2,FALSE)</f>
        <v>#N/A</v>
      </c>
      <c r="AI46" s="70" t="str">
        <f>ais_ja</f>
        <v>Ja</v>
      </c>
      <c r="AJ46" s="671" t="s">
        <v>112</v>
      </c>
      <c r="AK46" s="651" t="s">
        <v>444</v>
      </c>
      <c r="AL46" s="651" t="s">
        <v>445</v>
      </c>
      <c r="AM46" s="651" t="s">
        <v>446</v>
      </c>
      <c r="AN46" s="651" t="s">
        <v>447</v>
      </c>
      <c r="AO46" s="651" t="s">
        <v>438</v>
      </c>
      <c r="AP46" s="651"/>
      <c r="AR46" s="1" t="s">
        <v>13</v>
      </c>
      <c r="AS46" s="23" t="str">
        <f t="shared" si="3"/>
        <v>N/A</v>
      </c>
      <c r="AT46" s="23" t="str">
        <f t="shared" si="1"/>
        <v>N/A</v>
      </c>
      <c r="AU46" s="23" t="str">
        <f t="shared" si="2"/>
        <v>N/A</v>
      </c>
      <c r="AV46" s="23" t="str">
        <f t="shared" ref="AV46" si="8">IF($AJ$4=ais_nei,AIS_NA,IF(AN46="",AIS_NA,AN46))</f>
        <v>N/A</v>
      </c>
      <c r="AW46" s="23" t="str">
        <f t="shared" ref="AW46" si="9">IF($AJ$4=ais_nei,AIS_NA,IF(AO46="",AIS_NA,AO46))</f>
        <v>N/A</v>
      </c>
      <c r="AX46" s="23"/>
      <c r="AZ46" s="640"/>
    </row>
    <row r="47" spans="1:58" x14ac:dyDescent="0.25">
      <c r="A47" s="1076">
        <v>38</v>
      </c>
      <c r="B47" s="1077" t="s">
        <v>65</v>
      </c>
      <c r="C47" s="1082" t="str">
        <f t="shared" si="7"/>
        <v>Hea 02</v>
      </c>
      <c r="D47" s="19" t="s">
        <v>733</v>
      </c>
      <c r="E47" s="861" t="str">
        <f>VLOOKUP(D47,Poeng!$B$10:$R$252,Poeng!E$1,FALSE)</f>
        <v>Pre-requisite: A site-specific indoor air quality plan has been produced</v>
      </c>
      <c r="F47" s="122" t="str">
        <f>VLOOKUP(D47,Poeng!$B$10:$AB$252,Poeng!AB$1,FALSE)</f>
        <v>Yes/No</v>
      </c>
      <c r="G47" s="43"/>
      <c r="H47" s="123" t="str">
        <f>VLOOKUP(D47,Poeng!$B$10:$AE$252,Poeng!AE$1,FALSE)</f>
        <v>-</v>
      </c>
      <c r="I47" s="124" t="str">
        <f>VLOOKUP(D47,Poeng!$B$10:$BE$252,Poeng!BE$1,FALSE)</f>
        <v>Unclassified</v>
      </c>
      <c r="J47" s="80"/>
      <c r="K47" s="281"/>
      <c r="L47" s="796"/>
      <c r="M47" s="816"/>
      <c r="N47" s="83"/>
      <c r="O47" s="123" t="str">
        <f>VLOOKUP(D47,Poeng!$B$10:$BC$252,Poeng!AF$1,FALSE)</f>
        <v>-</v>
      </c>
      <c r="P47" s="123" t="str">
        <f>VLOOKUP(D47,Poeng!$B$10:$BH$252,Poeng!BH$1,FALSE)</f>
        <v>Unclassified</v>
      </c>
      <c r="Q47" s="744"/>
      <c r="R47" s="745"/>
      <c r="S47" s="738"/>
      <c r="T47" s="319"/>
      <c r="U47" s="83"/>
      <c r="V47" s="123" t="str">
        <f>VLOOKUP(D47,Poeng!$B$10:$BC$252,Poeng!AG$1,FALSE)</f>
        <v>-</v>
      </c>
      <c r="W47" s="123" t="str">
        <f>VLOOKUP(D47,Poeng!$B$10:$BK$252,Poeng!BK$1,FALSE)</f>
        <v>Unclassified</v>
      </c>
      <c r="X47" s="81"/>
      <c r="Y47" s="80"/>
      <c r="Z47" s="738"/>
      <c r="AC47" s="107">
        <f t="shared" si="0"/>
        <v>1</v>
      </c>
      <c r="AD47" s="3" t="e">
        <f>VLOOKUP(K47,'Assessment Details'!$O$45:$P$48,2,FALSE)</f>
        <v>#N/A</v>
      </c>
      <c r="AE47" s="3" t="e">
        <f>VLOOKUP(R47,'Assessment Details'!$O$45:$P$48,2,FALSE)</f>
        <v>#N/A</v>
      </c>
      <c r="AF47" s="3" t="e">
        <f>VLOOKUP(Y47,'Assessment Details'!$O$45:$P$48,2,FALSE)</f>
        <v>#N/A</v>
      </c>
    </row>
    <row r="48" spans="1:58" x14ac:dyDescent="0.25">
      <c r="A48" s="1076">
        <v>39</v>
      </c>
      <c r="B48" s="1077" t="s">
        <v>65</v>
      </c>
      <c r="C48" s="1082" t="str">
        <f t="shared" si="7"/>
        <v>Hea 02</v>
      </c>
      <c r="D48" s="19" t="s">
        <v>734</v>
      </c>
      <c r="E48" s="861" t="str">
        <f>VLOOKUP(D48,Poeng!$B$10:$R$252,Poeng!E$1,FALSE)</f>
        <v>Ventilation</v>
      </c>
      <c r="F48" s="122">
        <f>VLOOKUP(D48,Poeng!$B$10:$AB$252,Poeng!AB$1,FALSE)</f>
        <v>1</v>
      </c>
      <c r="G48" s="43"/>
      <c r="H48" s="123">
        <f>VLOOKUP(D48,Poeng!$B$10:$AE$252,Poeng!AE$1,FALSE)</f>
        <v>0</v>
      </c>
      <c r="I48" s="124" t="str">
        <f>VLOOKUP(D48,Poeng!$B$10:$BE$252,Poeng!BE$1,FALSE)</f>
        <v>N/A</v>
      </c>
      <c r="J48" s="80"/>
      <c r="K48" s="281"/>
      <c r="L48" s="796"/>
      <c r="M48" s="816"/>
      <c r="N48" s="83"/>
      <c r="O48" s="123">
        <f>VLOOKUP(D48,Poeng!$B$10:$BC$252,Poeng!AF$1,FALSE)</f>
        <v>0</v>
      </c>
      <c r="P48" s="123" t="str">
        <f>VLOOKUP(D48,Poeng!$B$10:$BH$252,Poeng!BH$1,FALSE)</f>
        <v>N/A</v>
      </c>
      <c r="Q48" s="744"/>
      <c r="R48" s="745"/>
      <c r="S48" s="738"/>
      <c r="T48" s="319"/>
      <c r="U48" s="83"/>
      <c r="V48" s="123">
        <f>VLOOKUP(D48,Poeng!$B$10:$BC$252,Poeng!AG$1,FALSE)</f>
        <v>0</v>
      </c>
      <c r="W48" s="123" t="str">
        <f>VLOOKUP(D48,Poeng!$B$10:$BK$252,Poeng!BK$1,FALSE)</f>
        <v>N/A</v>
      </c>
      <c r="X48" s="81"/>
      <c r="Y48" s="80"/>
      <c r="Z48" s="738"/>
      <c r="AC48" s="107">
        <f t="shared" si="0"/>
        <v>1</v>
      </c>
      <c r="AD48" s="3" t="e">
        <f>VLOOKUP(K48,'Assessment Details'!$O$45:$P$48,2,FALSE)</f>
        <v>#N/A</v>
      </c>
      <c r="AE48" s="3" t="e">
        <f>VLOOKUP(R48,'Assessment Details'!$O$45:$P$48,2,FALSE)</f>
        <v>#N/A</v>
      </c>
      <c r="AF48" s="3" t="e">
        <f>VLOOKUP(Y48,'Assessment Details'!$O$45:$P$48,2,FALSE)</f>
        <v>#N/A</v>
      </c>
    </row>
    <row r="49" spans="1:52" ht="14.25" customHeight="1" x14ac:dyDescent="0.25">
      <c r="A49" s="1076">
        <v>40</v>
      </c>
      <c r="B49" s="1077" t="s">
        <v>65</v>
      </c>
      <c r="C49" s="1082" t="str">
        <f t="shared" si="7"/>
        <v>Hea 02</v>
      </c>
      <c r="D49" s="19" t="s">
        <v>735</v>
      </c>
      <c r="E49" s="1071" t="str">
        <f>VLOOKUP(D49,Poeng!$B$10:$R$252,Poeng!E$1,FALSE)</f>
        <v>Emissions from construction products (EU taxonomy requirement: criterion 5)</v>
      </c>
      <c r="F49" s="122">
        <f>VLOOKUP(D49,Poeng!$B$10:$AB$252,Poeng!AB$1,FALSE)</f>
        <v>2</v>
      </c>
      <c r="G49" s="43"/>
      <c r="H49" s="123">
        <f>VLOOKUP(D49,Poeng!$B$10:$AE$252,Poeng!AE$1,FALSE)</f>
        <v>0</v>
      </c>
      <c r="I49" s="124" t="str">
        <f>VLOOKUP(D49,Poeng!$B$10:$BE$252,Poeng!BE$1,FALSE)</f>
        <v>Good</v>
      </c>
      <c r="J49" s="80"/>
      <c r="K49" s="281"/>
      <c r="L49" s="796"/>
      <c r="M49" s="816"/>
      <c r="N49" s="83"/>
      <c r="O49" s="123">
        <f>VLOOKUP(D49,Poeng!$B$10:$BC$252,Poeng!AF$1,FALSE)</f>
        <v>0</v>
      </c>
      <c r="P49" s="123" t="str">
        <f>VLOOKUP(D49,Poeng!$B$10:$BH$252,Poeng!BH$1,FALSE)</f>
        <v>Good</v>
      </c>
      <c r="Q49" s="744"/>
      <c r="R49" s="745"/>
      <c r="S49" s="738"/>
      <c r="T49" s="319"/>
      <c r="U49" s="83"/>
      <c r="V49" s="123">
        <f>VLOOKUP(D49,Poeng!$B$10:$BC$252,Poeng!AG$1,FALSE)</f>
        <v>0</v>
      </c>
      <c r="W49" s="123" t="str">
        <f>VLOOKUP(D49,Poeng!$B$10:$BK$252,Poeng!BK$1,FALSE)</f>
        <v>Good</v>
      </c>
      <c r="X49" s="81"/>
      <c r="Y49" s="80"/>
      <c r="Z49" s="738"/>
      <c r="AC49" s="107">
        <f t="shared" si="0"/>
        <v>1</v>
      </c>
      <c r="AD49" s="3" t="e">
        <f>VLOOKUP(K49,'Assessment Details'!$O$45:$P$48,2,FALSE)</f>
        <v>#N/A</v>
      </c>
      <c r="AE49" s="3" t="e">
        <f>VLOOKUP(R49,'Assessment Details'!$O$45:$P$48,2,FALSE)</f>
        <v>#N/A</v>
      </c>
      <c r="AF49" s="3" t="e">
        <f>VLOOKUP(Y49,'Assessment Details'!$O$45:$P$48,2,FALSE)</f>
        <v>#N/A</v>
      </c>
    </row>
    <row r="50" spans="1:52" x14ac:dyDescent="0.25">
      <c r="A50" s="1076">
        <v>41</v>
      </c>
      <c r="B50" s="1077" t="s">
        <v>65</v>
      </c>
      <c r="C50" s="1082" t="str">
        <f t="shared" si="7"/>
        <v>Hea 02</v>
      </c>
      <c r="D50" s="19" t="s">
        <v>736</v>
      </c>
      <c r="E50" s="861" t="str">
        <f>VLOOKUP(D50,Poeng!$B$10:$R$252,Poeng!E$1,FALSE)</f>
        <v xml:space="preserve">Post-construction indoor air quality measurement </v>
      </c>
      <c r="F50" s="122">
        <f>VLOOKUP(D50,Poeng!$B$10:$AB$252,Poeng!AB$1,FALSE)</f>
        <v>1</v>
      </c>
      <c r="G50" s="43"/>
      <c r="H50" s="123">
        <f>VLOOKUP(D50,Poeng!$B$10:$AE$252,Poeng!AE$1,FALSE)</f>
        <v>0</v>
      </c>
      <c r="I50" s="124" t="str">
        <f>VLOOKUP(D50,Poeng!$B$10:$BE$252,Poeng!BE$1,FALSE)</f>
        <v>N/A</v>
      </c>
      <c r="J50" s="80"/>
      <c r="K50" s="281"/>
      <c r="L50" s="796"/>
      <c r="M50" s="816"/>
      <c r="N50" s="83"/>
      <c r="O50" s="123">
        <f>VLOOKUP(D50,Poeng!$B$10:$BC$252,Poeng!AF$1,FALSE)</f>
        <v>0</v>
      </c>
      <c r="P50" s="123" t="str">
        <f>VLOOKUP(D50,Poeng!$B$10:$BH$252,Poeng!BH$1,FALSE)</f>
        <v>N/A</v>
      </c>
      <c r="Q50" s="744"/>
      <c r="R50" s="745"/>
      <c r="S50" s="738"/>
      <c r="T50" s="319"/>
      <c r="U50" s="83"/>
      <c r="V50" s="123">
        <f>VLOOKUP(D50,Poeng!$B$10:$BC$252,Poeng!AG$1,FALSE)</f>
        <v>0</v>
      </c>
      <c r="W50" s="123" t="str">
        <f>VLOOKUP(D50,Poeng!$B$10:$BK$252,Poeng!BK$1,FALSE)</f>
        <v>N/A</v>
      </c>
      <c r="X50" s="81"/>
      <c r="Y50" s="80"/>
      <c r="Z50" s="738"/>
      <c r="AC50" s="107">
        <f t="shared" si="0"/>
        <v>1</v>
      </c>
      <c r="AD50" s="3" t="e">
        <f>VLOOKUP(K50,'Assessment Details'!$O$45:$P$48,2,FALSE)</f>
        <v>#N/A</v>
      </c>
      <c r="AE50" s="3" t="e">
        <f>VLOOKUP(R50,'Assessment Details'!$O$45:$P$48,2,FALSE)</f>
        <v>#N/A</v>
      </c>
      <c r="AF50" s="3" t="e">
        <f>VLOOKUP(Y50,'Assessment Details'!$O$45:$P$48,2,FALSE)</f>
        <v>#N/A</v>
      </c>
    </row>
    <row r="51" spans="1:52" x14ac:dyDescent="0.25">
      <c r="A51" s="1076">
        <v>42</v>
      </c>
      <c r="B51" s="1077" t="s">
        <v>65</v>
      </c>
      <c r="C51" s="924" t="s">
        <v>119</v>
      </c>
      <c r="D51" s="824" t="s">
        <v>119</v>
      </c>
      <c r="E51" s="860" t="str">
        <f>VLOOKUP(D51,Poeng!$B$10:$R$252,Poeng!E$1,FALSE)</f>
        <v>Hea 03 Thermal comfort</v>
      </c>
      <c r="F51" s="865">
        <f>VLOOKUP(D51,Poeng!$B$10:$AB$252,Poeng!AB$1,FALSE)</f>
        <v>3</v>
      </c>
      <c r="G51" s="43"/>
      <c r="H51" s="866" t="str">
        <f>VLOOKUP(D51,Poeng!$B$10:$AI$252,Poeng!AI$1,FALSE)&amp;" c. "&amp;ROUND(VLOOKUP(D51,Poeng!$B$10:$AE$252,Poeng!AE$1,FALSE)*100,1)&amp;" %"</f>
        <v>0 c. 0 %</v>
      </c>
      <c r="I51" s="924" t="str">
        <f>VLOOKUP(D51,Poeng!$B$10:$BE$252,Poeng!BE$1,FALSE)</f>
        <v>N/A</v>
      </c>
      <c r="J51" s="80"/>
      <c r="K51" s="281"/>
      <c r="L51" s="796"/>
      <c r="M51" s="816"/>
      <c r="N51" s="1001"/>
      <c r="O51" s="877" t="str">
        <f>VLOOKUP(D51,Poeng!$B$10:$BC$252,Poeng!AJ$1,FALSE)&amp;" c. "&amp;ROUND(VLOOKUP(D51,Poeng!$B$10:$BC$252,Poeng!AF$1,FALSE)*100,1)&amp;" %"</f>
        <v>0 c. 0 %</v>
      </c>
      <c r="P51" s="123" t="str">
        <f>VLOOKUP(D51,Poeng!$B$10:$BH$252,Poeng!BH$1,FALSE)</f>
        <v>N/A</v>
      </c>
      <c r="Q51" s="744"/>
      <c r="R51" s="745"/>
      <c r="S51" s="738"/>
      <c r="T51" s="319"/>
      <c r="U51" s="1001"/>
      <c r="V51" s="877" t="str">
        <f>VLOOKUP(D51,Poeng!$B$10:$BC$252,Poeng!AK$1,FALSE)&amp;" c. "&amp;ROUND(VLOOKUP(D51,Poeng!$B$10:$BC$252,Poeng!AG$1,FALSE)*100,1)&amp;" %"</f>
        <v>0 c. 0 %</v>
      </c>
      <c r="W51" s="123" t="str">
        <f>VLOOKUP(D51,Poeng!$B$10:$BK$252,Poeng!BK$1,FALSE)</f>
        <v>N/A</v>
      </c>
      <c r="X51" s="81"/>
      <c r="Y51" s="80"/>
      <c r="Z51" s="738"/>
      <c r="AA51" s="133"/>
      <c r="AB51" s="640" t="s">
        <v>13</v>
      </c>
      <c r="AC51" s="107">
        <f t="shared" si="0"/>
        <v>1</v>
      </c>
      <c r="AD51" s="3" t="e">
        <f>VLOOKUP(K51,'Assessment Details'!$O$45:$P$48,2,FALSE)</f>
        <v>#N/A</v>
      </c>
      <c r="AE51" s="3" t="e">
        <f>VLOOKUP(R51,'Assessment Details'!$O$45:$P$48,2,FALSE)</f>
        <v>#N/A</v>
      </c>
      <c r="AF51" s="3" t="e">
        <f>VLOOKUP(Y51,'Assessment Details'!$O$45:$P$48,2,FALSE)</f>
        <v>#N/A</v>
      </c>
      <c r="AI51" s="70" t="str">
        <f>ais_ja</f>
        <v>Ja</v>
      </c>
      <c r="AJ51" s="671" t="s">
        <v>113</v>
      </c>
      <c r="AK51" s="648" t="s">
        <v>406</v>
      </c>
      <c r="AL51" s="648" t="s">
        <v>410</v>
      </c>
      <c r="AM51" s="648" t="s">
        <v>408</v>
      </c>
      <c r="AN51" s="70"/>
      <c r="AO51" s="70"/>
      <c r="AP51" s="70"/>
      <c r="AR51" s="1" t="s">
        <v>13</v>
      </c>
      <c r="AS51" s="23" t="str">
        <f t="shared" si="3"/>
        <v>N/A</v>
      </c>
      <c r="AT51" s="23" t="str">
        <f t="shared" si="1"/>
        <v>N/A</v>
      </c>
      <c r="AU51" s="23" t="str">
        <f t="shared" si="2"/>
        <v>N/A</v>
      </c>
      <c r="AV51" s="23"/>
      <c r="AW51" s="23"/>
      <c r="AX51" s="23"/>
      <c r="AZ51" s="640"/>
    </row>
    <row r="52" spans="1:52" x14ac:dyDescent="0.25">
      <c r="A52" s="1076">
        <v>43</v>
      </c>
      <c r="B52" s="1077" t="s">
        <v>65</v>
      </c>
      <c r="C52" s="1082" t="str">
        <f t="shared" si="7"/>
        <v>Hea 03</v>
      </c>
      <c r="D52" s="824" t="s">
        <v>737</v>
      </c>
      <c r="E52" s="861" t="str">
        <f>VLOOKUP(D52,Poeng!$B$10:$R$252,Poeng!E$1,FALSE)</f>
        <v xml:space="preserve">Thermal modelling </v>
      </c>
      <c r="F52" s="122">
        <f>VLOOKUP(D52,Poeng!$B$10:$AB$252,Poeng!AB$1,FALSE)</f>
        <v>1</v>
      </c>
      <c r="G52" s="43"/>
      <c r="H52" s="123">
        <f>VLOOKUP(D52,Poeng!$B$10:$AE$252,Poeng!AE$1,FALSE)</f>
        <v>0</v>
      </c>
      <c r="I52" s="124" t="str">
        <f>VLOOKUP(D52,Poeng!$B$10:$BE$252,Poeng!BE$1,FALSE)</f>
        <v>N/A</v>
      </c>
      <c r="J52" s="80"/>
      <c r="K52" s="281"/>
      <c r="L52" s="796"/>
      <c r="M52" s="816"/>
      <c r="N52" s="83"/>
      <c r="O52" s="123">
        <f>VLOOKUP(D52,Poeng!$B$10:$BC$252,Poeng!AF$1,FALSE)</f>
        <v>0</v>
      </c>
      <c r="P52" s="123" t="str">
        <f>VLOOKUP(D52,Poeng!$B$10:$BH$252,Poeng!BH$1,FALSE)</f>
        <v>N/A</v>
      </c>
      <c r="Q52" s="744"/>
      <c r="R52" s="745"/>
      <c r="S52" s="738"/>
      <c r="T52" s="319"/>
      <c r="U52" s="83"/>
      <c r="V52" s="123">
        <f>VLOOKUP(D52,Poeng!$B$10:$BC$252,Poeng!AG$1,FALSE)</f>
        <v>0</v>
      </c>
      <c r="W52" s="123" t="str">
        <f>VLOOKUP(D52,Poeng!$B$10:$BK$252,Poeng!BK$1,FALSE)</f>
        <v>N/A</v>
      </c>
      <c r="X52" s="81"/>
      <c r="Y52" s="80"/>
      <c r="Z52" s="1095"/>
      <c r="AA52" s="133"/>
      <c r="AB52" s="640"/>
      <c r="AC52" s="107">
        <f t="shared" si="0"/>
        <v>1</v>
      </c>
      <c r="AD52" s="3" t="e">
        <f>VLOOKUP(K52,'Assessment Details'!$O$45:$P$48,2,FALSE)</f>
        <v>#N/A</v>
      </c>
      <c r="AE52" s="3" t="e">
        <f>VLOOKUP(R52,'Assessment Details'!$O$45:$P$48,2,FALSE)</f>
        <v>#N/A</v>
      </c>
      <c r="AF52" s="3" t="e">
        <f>VLOOKUP(Y52,'Assessment Details'!$O$45:$P$48,2,FALSE)</f>
        <v>#N/A</v>
      </c>
      <c r="AI52" s="70"/>
      <c r="AJ52" s="671"/>
      <c r="AK52" s="648"/>
      <c r="AL52" s="648"/>
      <c r="AM52" s="648"/>
      <c r="AN52" s="70"/>
      <c r="AO52" s="70"/>
      <c r="AP52" s="70"/>
      <c r="AS52" s="23"/>
      <c r="AT52" s="23"/>
      <c r="AU52" s="23"/>
      <c r="AV52" s="23"/>
      <c r="AW52" s="23"/>
      <c r="AX52" s="23"/>
      <c r="AZ52" s="640"/>
    </row>
    <row r="53" spans="1:52" x14ac:dyDescent="0.25">
      <c r="A53" s="1076">
        <v>44</v>
      </c>
      <c r="B53" s="1077" t="s">
        <v>65</v>
      </c>
      <c r="C53" s="1082" t="str">
        <f t="shared" si="7"/>
        <v>Hea 03</v>
      </c>
      <c r="D53" s="824" t="s">
        <v>738</v>
      </c>
      <c r="E53" s="861" t="str">
        <f>VLOOKUP(D53,Poeng!$B$10:$R$252,Poeng!E$1,FALSE)</f>
        <v xml:space="preserve">Design for future thermal comfort </v>
      </c>
      <c r="F53" s="122">
        <f>VLOOKUP(D53,Poeng!$B$10:$AB$252,Poeng!AB$1,FALSE)</f>
        <v>1</v>
      </c>
      <c r="G53" s="43"/>
      <c r="H53" s="123">
        <f>VLOOKUP(D53,Poeng!$B$10:$AE$252,Poeng!AE$1,FALSE)</f>
        <v>0</v>
      </c>
      <c r="I53" s="124" t="str">
        <f>VLOOKUP(D53,Poeng!$B$10:$BE$252,Poeng!BE$1,FALSE)</f>
        <v>N/A</v>
      </c>
      <c r="J53" s="80"/>
      <c r="K53" s="281"/>
      <c r="L53" s="796"/>
      <c r="M53" s="816"/>
      <c r="N53" s="83"/>
      <c r="O53" s="123">
        <f>VLOOKUP(D53,Poeng!$B$10:$BC$252,Poeng!AF$1,FALSE)</f>
        <v>0</v>
      </c>
      <c r="P53" s="123" t="str">
        <f>VLOOKUP(D53,Poeng!$B$10:$BH$252,Poeng!BH$1,FALSE)</f>
        <v>N/A</v>
      </c>
      <c r="Q53" s="744"/>
      <c r="R53" s="745"/>
      <c r="S53" s="738"/>
      <c r="T53" s="319"/>
      <c r="U53" s="83"/>
      <c r="V53" s="123">
        <f>VLOOKUP(D53,Poeng!$B$10:$BC$252,Poeng!AG$1,FALSE)</f>
        <v>0</v>
      </c>
      <c r="W53" s="123" t="str">
        <f>VLOOKUP(D53,Poeng!$B$10:$BK$252,Poeng!BK$1,FALSE)</f>
        <v>N/A</v>
      </c>
      <c r="X53" s="81"/>
      <c r="Y53" s="80"/>
      <c r="Z53" s="1095"/>
      <c r="AA53" s="133"/>
      <c r="AB53" s="640"/>
      <c r="AC53" s="107">
        <f t="shared" si="0"/>
        <v>1</v>
      </c>
      <c r="AD53" s="3" t="e">
        <f>VLOOKUP(K53,'Assessment Details'!$O$45:$P$48,2,FALSE)</f>
        <v>#N/A</v>
      </c>
      <c r="AE53" s="3" t="e">
        <f>VLOOKUP(R53,'Assessment Details'!$O$45:$P$48,2,FALSE)</f>
        <v>#N/A</v>
      </c>
      <c r="AF53" s="3" t="e">
        <f>VLOOKUP(Y53,'Assessment Details'!$O$45:$P$48,2,FALSE)</f>
        <v>#N/A</v>
      </c>
      <c r="AI53" s="70"/>
      <c r="AJ53" s="671"/>
      <c r="AK53" s="648"/>
      <c r="AL53" s="648"/>
      <c r="AM53" s="648"/>
      <c r="AN53" s="70"/>
      <c r="AO53" s="70"/>
      <c r="AP53" s="70"/>
      <c r="AS53" s="23"/>
      <c r="AT53" s="23"/>
      <c r="AU53" s="23"/>
      <c r="AV53" s="23"/>
      <c r="AW53" s="23"/>
      <c r="AX53" s="23"/>
      <c r="AZ53" s="640"/>
    </row>
    <row r="54" spans="1:52" x14ac:dyDescent="0.25">
      <c r="A54" s="1076">
        <v>45</v>
      </c>
      <c r="B54" s="1077" t="s">
        <v>65</v>
      </c>
      <c r="C54" s="1082" t="str">
        <f t="shared" si="7"/>
        <v>Hea 03</v>
      </c>
      <c r="D54" s="824" t="s">
        <v>739</v>
      </c>
      <c r="E54" s="861" t="str">
        <f>VLOOKUP(D54,Poeng!$B$10:$R$252,Poeng!E$1,FALSE)</f>
        <v xml:space="preserve">Thermal zoning and controls </v>
      </c>
      <c r="F54" s="122">
        <f>VLOOKUP(D54,Poeng!$B$10:$AB$252,Poeng!AB$1,FALSE)</f>
        <v>1</v>
      </c>
      <c r="G54" s="43"/>
      <c r="H54" s="123">
        <f>VLOOKUP(D54,Poeng!$B$10:$AE$252,Poeng!AE$1,FALSE)</f>
        <v>0</v>
      </c>
      <c r="I54" s="124" t="str">
        <f>VLOOKUP(D54,Poeng!$B$10:$BE$252,Poeng!BE$1,FALSE)</f>
        <v>N/A</v>
      </c>
      <c r="J54" s="80"/>
      <c r="K54" s="281"/>
      <c r="L54" s="796"/>
      <c r="M54" s="816"/>
      <c r="N54" s="83"/>
      <c r="O54" s="123">
        <f>VLOOKUP(D54,Poeng!$B$10:$BC$252,Poeng!AF$1,FALSE)</f>
        <v>0</v>
      </c>
      <c r="P54" s="123" t="str">
        <f>VLOOKUP(D54,Poeng!$B$10:$BH$252,Poeng!BH$1,FALSE)</f>
        <v>N/A</v>
      </c>
      <c r="Q54" s="744"/>
      <c r="R54" s="745"/>
      <c r="S54" s="738"/>
      <c r="T54" s="319"/>
      <c r="U54" s="83"/>
      <c r="V54" s="123">
        <f>VLOOKUP(D54,Poeng!$B$10:$BC$252,Poeng!AG$1,FALSE)</f>
        <v>0</v>
      </c>
      <c r="W54" s="123" t="str">
        <f>VLOOKUP(D54,Poeng!$B$10:$BK$252,Poeng!BK$1,FALSE)</f>
        <v>N/A</v>
      </c>
      <c r="X54" s="81"/>
      <c r="Y54" s="80"/>
      <c r="Z54" s="1095"/>
      <c r="AA54" s="133"/>
      <c r="AB54" s="640"/>
      <c r="AC54" s="107">
        <f t="shared" si="0"/>
        <v>1</v>
      </c>
      <c r="AD54" s="3" t="e">
        <f>VLOOKUP(K54,'Assessment Details'!$O$45:$P$48,2,FALSE)</f>
        <v>#N/A</v>
      </c>
      <c r="AE54" s="3" t="e">
        <f>VLOOKUP(R54,'Assessment Details'!$O$45:$P$48,2,FALSE)</f>
        <v>#N/A</v>
      </c>
      <c r="AF54" s="3" t="e">
        <f>VLOOKUP(Y54,'Assessment Details'!$O$45:$P$48,2,FALSE)</f>
        <v>#N/A</v>
      </c>
      <c r="AI54" s="70"/>
      <c r="AJ54" s="671"/>
      <c r="AK54" s="648"/>
      <c r="AL54" s="648"/>
      <c r="AM54" s="648"/>
      <c r="AN54" s="70"/>
      <c r="AO54" s="70"/>
      <c r="AP54" s="70"/>
      <c r="AS54" s="23"/>
      <c r="AT54" s="23"/>
      <c r="AU54" s="23"/>
      <c r="AV54" s="23"/>
      <c r="AW54" s="23"/>
      <c r="AX54" s="23"/>
      <c r="AZ54" s="640"/>
    </row>
    <row r="55" spans="1:52" x14ac:dyDescent="0.25">
      <c r="A55" s="1076">
        <v>46</v>
      </c>
      <c r="B55" s="1077" t="s">
        <v>65</v>
      </c>
      <c r="C55" s="924" t="s">
        <v>121</v>
      </c>
      <c r="D55" s="824" t="s">
        <v>121</v>
      </c>
      <c r="E55" s="860" t="str">
        <f>VLOOKUP(D55,Poeng!$B$10:$R$252,Poeng!E$1,FALSE)</f>
        <v>Hea 05 Acoustic performance</v>
      </c>
      <c r="F55" s="865">
        <f>VLOOKUP(D55,Poeng!$B$10:$AB$252,Poeng!AB$1,FALSE)</f>
        <v>3</v>
      </c>
      <c r="G55" s="1001"/>
      <c r="H55" s="866" t="str">
        <f>VLOOKUP(D55,Poeng!$B$10:$AI$252,Poeng!AI$1,FALSE)&amp;" c. "&amp;ROUND(VLOOKUP(D55,Poeng!$B$10:$AE$252,Poeng!AE$1,FALSE)*100,1)&amp;" %"</f>
        <v>0 c. 0 %</v>
      </c>
      <c r="I55" s="924" t="str">
        <f>VLOOKUP(D55,Poeng!$B$10:$BE$252,Poeng!BE$1,FALSE)</f>
        <v>N/A</v>
      </c>
      <c r="J55" s="80"/>
      <c r="K55" s="281"/>
      <c r="L55" s="796"/>
      <c r="M55" s="816"/>
      <c r="N55" s="1001"/>
      <c r="O55" s="877" t="str">
        <f>VLOOKUP(D55,Poeng!$B$10:$BC$252,Poeng!AJ$1,FALSE)&amp;" c. "&amp;ROUND(VLOOKUP(D55,Poeng!$B$10:$BC$252,Poeng!AF$1,FALSE)*100,1)&amp;" %"</f>
        <v>0 c. 0 %</v>
      </c>
      <c r="P55" s="123" t="str">
        <f>VLOOKUP(D55,Poeng!$B$10:$BH$252,Poeng!BH$1,FALSE)</f>
        <v>N/A</v>
      </c>
      <c r="Q55" s="744"/>
      <c r="R55" s="745"/>
      <c r="S55" s="738"/>
      <c r="T55" s="319"/>
      <c r="U55" s="1001"/>
      <c r="V55" s="877" t="str">
        <f>VLOOKUP(D55,Poeng!$B$10:$BC$252,Poeng!AK$1,FALSE)&amp;" c. "&amp;ROUND(VLOOKUP(D55,Poeng!$B$10:$BC$252,Poeng!AG$1,FALSE)*100,1)&amp;" %"</f>
        <v>0 c. 0 %</v>
      </c>
      <c r="W55" s="123" t="str">
        <f>VLOOKUP(D55,Poeng!$B$10:$BK$252,Poeng!BK$1,FALSE)</f>
        <v>N/A</v>
      </c>
      <c r="X55" s="81"/>
      <c r="Y55" s="80"/>
      <c r="Z55" s="738"/>
      <c r="AA55" s="133"/>
      <c r="AB55" s="640" t="s">
        <v>13</v>
      </c>
      <c r="AC55" s="107">
        <f t="shared" si="0"/>
        <v>1</v>
      </c>
      <c r="AD55" s="3" t="e">
        <f>VLOOKUP(K55,'Assessment Details'!$O$45:$P$48,2,FALSE)</f>
        <v>#N/A</v>
      </c>
      <c r="AE55" s="3" t="e">
        <f>VLOOKUP(R55,'Assessment Details'!$O$45:$P$48,2,FALSE)</f>
        <v>#N/A</v>
      </c>
      <c r="AF55" s="3" t="e">
        <f>VLOOKUP(Y55,'Assessment Details'!$O$45:$P$48,2,FALSE)</f>
        <v>#N/A</v>
      </c>
      <c r="AI55" s="70"/>
      <c r="AJ55" s="671" t="s">
        <v>127</v>
      </c>
      <c r="AK55" s="648" t="s">
        <v>13</v>
      </c>
      <c r="AL55" s="652" t="s">
        <v>12</v>
      </c>
      <c r="AM55" s="70"/>
      <c r="AN55" s="70"/>
      <c r="AO55" s="70"/>
      <c r="AP55" s="70"/>
      <c r="AS55" s="23" t="str">
        <f t="shared" si="3"/>
        <v>N/A</v>
      </c>
      <c r="AT55" s="23" t="str">
        <f t="shared" si="1"/>
        <v>N/A</v>
      </c>
      <c r="AU55" s="23" t="str">
        <f t="shared" si="2"/>
        <v>N/A</v>
      </c>
      <c r="AV55" s="23"/>
      <c r="AW55" s="23"/>
      <c r="AX55" s="23"/>
      <c r="AZ55" s="640"/>
    </row>
    <row r="56" spans="1:52" x14ac:dyDescent="0.25">
      <c r="A56" s="1076">
        <v>47</v>
      </c>
      <c r="B56" s="1077" t="s">
        <v>65</v>
      </c>
      <c r="C56" s="1082" t="str">
        <f t="shared" si="7"/>
        <v>Hea 05</v>
      </c>
      <c r="D56" s="824" t="s">
        <v>740</v>
      </c>
      <c r="E56" s="861" t="str">
        <f>VLOOKUP(D56,Poeng!$B$10:$R$252,Poeng!E$1,FALSE)</f>
        <v xml:space="preserve">Pre-requisite: suitably qualified acoustician </v>
      </c>
      <c r="F56" s="122" t="str">
        <f>VLOOKUP(D56,Poeng!$B$10:$AB$252,Poeng!AB$1,FALSE)</f>
        <v>Yes/No</v>
      </c>
      <c r="G56" s="43"/>
      <c r="H56" s="123" t="str">
        <f>VLOOKUP(D56,Poeng!$B$10:$AE$252,Poeng!AE$1,FALSE)</f>
        <v>-</v>
      </c>
      <c r="I56" s="124" t="str">
        <f>VLOOKUP(D56,Poeng!$B$10:$BE$252,Poeng!BE$1,FALSE)</f>
        <v>N/A</v>
      </c>
      <c r="J56" s="80"/>
      <c r="K56" s="281"/>
      <c r="L56" s="796"/>
      <c r="M56" s="816"/>
      <c r="N56" s="83"/>
      <c r="O56" s="123" t="str">
        <f>VLOOKUP(D56,Poeng!$B$10:$BC$252,Poeng!AF$1,FALSE)</f>
        <v>-</v>
      </c>
      <c r="P56" s="123" t="str">
        <f>VLOOKUP(D56,Poeng!$B$10:$BH$252,Poeng!BH$1,FALSE)</f>
        <v>N/A</v>
      </c>
      <c r="Q56" s="744"/>
      <c r="R56" s="745"/>
      <c r="S56" s="738"/>
      <c r="T56" s="319"/>
      <c r="U56" s="83"/>
      <c r="V56" s="123" t="str">
        <f>VLOOKUP(D56,Poeng!$B$10:$BC$252,Poeng!AG$1,FALSE)</f>
        <v>-</v>
      </c>
      <c r="W56" s="123" t="str">
        <f>VLOOKUP(D56,Poeng!$B$10:$BK$252,Poeng!BK$1,FALSE)</f>
        <v>N/A</v>
      </c>
      <c r="X56" s="81"/>
      <c r="Y56" s="80"/>
      <c r="Z56" s="738"/>
      <c r="AA56" s="133"/>
      <c r="AB56" s="640"/>
      <c r="AC56" s="107">
        <f t="shared" si="0"/>
        <v>1</v>
      </c>
      <c r="AD56" s="3" t="e">
        <f>VLOOKUP(K56,'Assessment Details'!$O$45:$P$48,2,FALSE)</f>
        <v>#N/A</v>
      </c>
      <c r="AE56" s="3" t="e">
        <f>VLOOKUP(R56,'Assessment Details'!$O$45:$P$48,2,FALSE)</f>
        <v>#N/A</v>
      </c>
      <c r="AF56" s="3" t="e">
        <f>VLOOKUP(Y56,'Assessment Details'!$O$45:$P$48,2,FALSE)</f>
        <v>#N/A</v>
      </c>
      <c r="AI56" s="70"/>
      <c r="AJ56" s="671"/>
      <c r="AK56" s="648"/>
      <c r="AL56" s="652"/>
      <c r="AM56" s="70"/>
      <c r="AN56" s="70"/>
      <c r="AO56" s="70"/>
      <c r="AP56" s="70"/>
      <c r="AS56" s="23"/>
      <c r="AT56" s="23"/>
      <c r="AU56" s="23"/>
      <c r="AV56" s="23"/>
      <c r="AW56" s="23"/>
      <c r="AX56" s="23"/>
      <c r="AZ56" s="640"/>
    </row>
    <row r="57" spans="1:52" x14ac:dyDescent="0.25">
      <c r="A57" s="1076">
        <v>48</v>
      </c>
      <c r="B57" s="1077" t="s">
        <v>65</v>
      </c>
      <c r="C57" s="1082" t="str">
        <f t="shared" si="7"/>
        <v>Hea 05</v>
      </c>
      <c r="D57" s="824" t="s">
        <v>741</v>
      </c>
      <c r="E57" s="861" t="str">
        <f>VLOOKUP(D57,Poeng!$B$10:$R$252,Poeng!E$1,FALSE)</f>
        <v xml:space="preserve">Sound class requirements </v>
      </c>
      <c r="F57" s="122">
        <f>VLOOKUP(D57,Poeng!$B$10:$AB$252,Poeng!AB$1,FALSE)</f>
        <v>3</v>
      </c>
      <c r="G57" s="43"/>
      <c r="H57" s="123">
        <f>VLOOKUP(D57,Poeng!$B$10:$AE$252,Poeng!AE$1,FALSE)</f>
        <v>0</v>
      </c>
      <c r="I57" s="124" t="str">
        <f>VLOOKUP(D57,Poeng!$B$10:$BE$252,Poeng!BE$1,FALSE)</f>
        <v>N/A</v>
      </c>
      <c r="J57" s="80"/>
      <c r="K57" s="281"/>
      <c r="L57" s="796"/>
      <c r="M57" s="816"/>
      <c r="N57" s="83"/>
      <c r="O57" s="123">
        <f>VLOOKUP(D57,Poeng!$B$10:$BC$252,Poeng!AF$1,FALSE)</f>
        <v>0</v>
      </c>
      <c r="P57" s="123" t="str">
        <f>VLOOKUP(D57,Poeng!$B$10:$BH$252,Poeng!BH$1,FALSE)</f>
        <v>N/A</v>
      </c>
      <c r="Q57" s="744"/>
      <c r="R57" s="745"/>
      <c r="S57" s="1095"/>
      <c r="T57" s="319"/>
      <c r="U57" s="83"/>
      <c r="V57" s="123">
        <f>VLOOKUP(D57,Poeng!$B$10:$BC$252,Poeng!AG$1,FALSE)</f>
        <v>0</v>
      </c>
      <c r="W57" s="123" t="str">
        <f>VLOOKUP(D57,Poeng!$B$10:$BK$252,Poeng!BK$1,FALSE)</f>
        <v>N/A</v>
      </c>
      <c r="X57" s="81"/>
      <c r="Y57" s="80"/>
      <c r="Z57" s="1095"/>
      <c r="AA57" s="133"/>
      <c r="AB57" s="640"/>
      <c r="AC57" s="107">
        <f t="shared" si="0"/>
        <v>1</v>
      </c>
      <c r="AD57" s="3" t="e">
        <f>VLOOKUP(K57,'Assessment Details'!$O$45:$P$48,2,FALSE)</f>
        <v>#N/A</v>
      </c>
      <c r="AE57" s="3" t="e">
        <f>VLOOKUP(R57,'Assessment Details'!$O$45:$P$48,2,FALSE)</f>
        <v>#N/A</v>
      </c>
      <c r="AF57" s="3" t="e">
        <f>VLOOKUP(Y57,'Assessment Details'!$O$45:$P$48,2,FALSE)</f>
        <v>#N/A</v>
      </c>
      <c r="AI57" s="70"/>
      <c r="AJ57" s="671"/>
      <c r="AK57" s="648"/>
      <c r="AL57" s="652"/>
      <c r="AM57" s="70"/>
      <c r="AN57" s="70"/>
      <c r="AO57" s="70"/>
      <c r="AP57" s="70"/>
      <c r="AS57" s="23"/>
      <c r="AT57" s="23"/>
      <c r="AU57" s="23"/>
      <c r="AV57" s="23"/>
      <c r="AW57" s="23"/>
      <c r="AX57" s="23"/>
      <c r="AZ57" s="640"/>
    </row>
    <row r="58" spans="1:52" x14ac:dyDescent="0.25">
      <c r="A58" s="1076">
        <v>49</v>
      </c>
      <c r="B58" s="1077" t="s">
        <v>65</v>
      </c>
      <c r="C58" s="924" t="s">
        <v>122</v>
      </c>
      <c r="D58" s="824" t="s">
        <v>122</v>
      </c>
      <c r="E58" s="860" t="str">
        <f>VLOOKUP(D58,Poeng!$B$10:$R$252,Poeng!E$1,FALSE)</f>
        <v>Hea 06 Safe access</v>
      </c>
      <c r="F58" s="865">
        <f>VLOOKUP(D58,Poeng!$B$10:$AB$252,Poeng!AB$1,FALSE)</f>
        <v>2</v>
      </c>
      <c r="G58" s="1001"/>
      <c r="H58" s="866" t="str">
        <f>VLOOKUP(D58,Poeng!$B$10:$AI$252,Poeng!AI$1,FALSE)&amp;" c. "&amp;ROUND(VLOOKUP(D58,Poeng!$B$10:$AE$252,Poeng!AE$1,FALSE)*100,1)&amp;" %"</f>
        <v>0 c. 0 %</v>
      </c>
      <c r="I58" s="924" t="str">
        <f>VLOOKUP(D58,Poeng!$B$10:$BE$252,Poeng!BE$1,FALSE)</f>
        <v>N/A</v>
      </c>
      <c r="J58" s="80"/>
      <c r="K58" s="281"/>
      <c r="L58" s="796"/>
      <c r="M58" s="816"/>
      <c r="N58" s="1001"/>
      <c r="O58" s="877" t="str">
        <f>VLOOKUP(D58,Poeng!$B$10:$BC$252,Poeng!AJ$1,FALSE)&amp;" c. "&amp;ROUND(VLOOKUP(D58,Poeng!$B$10:$BC$252,Poeng!AF$1,FALSE)*100,1)&amp;" %"</f>
        <v>0 c. 0 %</v>
      </c>
      <c r="P58" s="123" t="str">
        <f>VLOOKUP(D58,Poeng!$B$10:$BH$252,Poeng!BH$1,FALSE)</f>
        <v>N/A</v>
      </c>
      <c r="Q58" s="744"/>
      <c r="R58" s="745"/>
      <c r="S58" s="738"/>
      <c r="T58" s="319"/>
      <c r="U58" s="1001"/>
      <c r="V58" s="877" t="str">
        <f>VLOOKUP(D58,Poeng!$B$10:$BC$252,Poeng!AK$1,FALSE)&amp;" c. "&amp;ROUND(VLOOKUP(D58,Poeng!$B$10:$BC$252,Poeng!AG$1,FALSE)*100,1)&amp;" %"</f>
        <v>0 c. 0 %</v>
      </c>
      <c r="W58" s="123" t="str">
        <f>VLOOKUP(D58,Poeng!$B$10:$BK$252,Poeng!BK$1,FALSE)</f>
        <v>N/A</v>
      </c>
      <c r="X58" s="81"/>
      <c r="Y58" s="80"/>
      <c r="Z58" s="738"/>
      <c r="AA58" s="133"/>
      <c r="AB58" s="640" t="s">
        <v>14</v>
      </c>
      <c r="AC58" s="107">
        <f t="shared" si="0"/>
        <v>1</v>
      </c>
      <c r="AD58" s="3" t="e">
        <f>VLOOKUP(K58,'Assessment Details'!$O$45:$P$48,2,FALSE)</f>
        <v>#N/A</v>
      </c>
      <c r="AE58" s="3" t="e">
        <f>VLOOKUP(R58,'Assessment Details'!$O$45:$P$48,2,FALSE)</f>
        <v>#N/A</v>
      </c>
      <c r="AF58" s="3" t="e">
        <f>VLOOKUP(Y58,'Assessment Details'!$O$45:$P$48,2,FALSE)</f>
        <v>#N/A</v>
      </c>
      <c r="AI58" s="70"/>
      <c r="AJ58" s="671" t="s">
        <v>114</v>
      </c>
      <c r="AK58" s="70"/>
      <c r="AL58" s="70"/>
      <c r="AM58" s="70"/>
      <c r="AN58" s="70"/>
      <c r="AO58" s="70"/>
      <c r="AP58" s="70"/>
      <c r="AS58" s="23" t="str">
        <f t="shared" si="3"/>
        <v>N/A</v>
      </c>
      <c r="AT58" s="23" t="str">
        <f t="shared" si="1"/>
        <v>N/A</v>
      </c>
      <c r="AU58" s="23" t="str">
        <f t="shared" si="2"/>
        <v>N/A</v>
      </c>
      <c r="AV58" s="23"/>
      <c r="AW58" s="23"/>
      <c r="AX58" s="23"/>
      <c r="AZ58" s="640"/>
    </row>
    <row r="59" spans="1:52" x14ac:dyDescent="0.25">
      <c r="A59" s="1076">
        <v>50</v>
      </c>
      <c r="B59" s="1077" t="s">
        <v>65</v>
      </c>
      <c r="C59" s="1082" t="str">
        <f t="shared" si="7"/>
        <v>Hea 06</v>
      </c>
      <c r="D59" s="824" t="s">
        <v>742</v>
      </c>
      <c r="E59" s="861" t="str">
        <f>VLOOKUP(D59,Poeng!$B$10:$R$252,Poeng!E$1,FALSE)</f>
        <v xml:space="preserve">Inclusive design </v>
      </c>
      <c r="F59" s="122">
        <f>VLOOKUP(D59,Poeng!$B$10:$AB$252,Poeng!AB$1,FALSE)</f>
        <v>1</v>
      </c>
      <c r="G59" s="43"/>
      <c r="H59" s="123">
        <f>VLOOKUP(D59,Poeng!$B$10:$AE$252,Poeng!AE$1,FALSE)</f>
        <v>0</v>
      </c>
      <c r="I59" s="124" t="str">
        <f>VLOOKUP(D59,Poeng!$B$10:$BE$252,Poeng!BE$1,FALSE)</f>
        <v>N/A</v>
      </c>
      <c r="J59" s="80"/>
      <c r="K59" s="281"/>
      <c r="L59" s="796"/>
      <c r="M59" s="816"/>
      <c r="N59" s="83"/>
      <c r="O59" s="123">
        <f>VLOOKUP(D59,Poeng!$B$10:$BC$252,Poeng!AF$1,FALSE)</f>
        <v>0</v>
      </c>
      <c r="P59" s="123" t="str">
        <f>VLOOKUP(D59,Poeng!$B$10:$BH$252,Poeng!BH$1,FALSE)</f>
        <v>N/A</v>
      </c>
      <c r="Q59" s="744"/>
      <c r="R59" s="745"/>
      <c r="S59" s="738"/>
      <c r="T59" s="319"/>
      <c r="U59" s="83"/>
      <c r="V59" s="123">
        <f>VLOOKUP(D59,Poeng!$B$10:$BC$252,Poeng!AG$1,FALSE)</f>
        <v>0</v>
      </c>
      <c r="W59" s="123" t="str">
        <f>VLOOKUP(D59,Poeng!$B$10:$BK$252,Poeng!BK$1,FALSE)</f>
        <v>N/A</v>
      </c>
      <c r="X59" s="81"/>
      <c r="Y59" s="80"/>
      <c r="Z59" s="1095"/>
      <c r="AA59" s="133"/>
      <c r="AB59" s="640"/>
      <c r="AC59" s="107">
        <f t="shared" si="0"/>
        <v>1</v>
      </c>
      <c r="AD59" s="3" t="e">
        <f>VLOOKUP(K59,'Assessment Details'!$O$45:$P$48,2,FALSE)</f>
        <v>#N/A</v>
      </c>
      <c r="AE59" s="3" t="e">
        <f>VLOOKUP(R59,'Assessment Details'!$O$45:$P$48,2,FALSE)</f>
        <v>#N/A</v>
      </c>
      <c r="AF59" s="3" t="e">
        <f>VLOOKUP(Y59,'Assessment Details'!$O$45:$P$48,2,FALSE)</f>
        <v>#N/A</v>
      </c>
      <c r="AI59" s="70"/>
      <c r="AJ59" s="671"/>
      <c r="AK59" s="70"/>
      <c r="AL59" s="70"/>
      <c r="AM59" s="70"/>
      <c r="AN59" s="70"/>
      <c r="AO59" s="70"/>
      <c r="AP59" s="70"/>
      <c r="AS59" s="23"/>
      <c r="AT59" s="23"/>
      <c r="AU59" s="23"/>
      <c r="AV59" s="23"/>
      <c r="AW59" s="23"/>
      <c r="AX59" s="23"/>
      <c r="AZ59" s="640"/>
    </row>
    <row r="60" spans="1:52" x14ac:dyDescent="0.25">
      <c r="A60" s="1076">
        <v>51</v>
      </c>
      <c r="B60" s="1077" t="s">
        <v>65</v>
      </c>
      <c r="C60" s="1082" t="str">
        <f t="shared" si="7"/>
        <v>Hea 06</v>
      </c>
      <c r="D60" s="824" t="s">
        <v>743</v>
      </c>
      <c r="E60" s="861" t="str">
        <f>VLOOKUP(D60,Poeng!$B$10:$R$252,Poeng!E$1,FALSE)</f>
        <v xml:space="preserve">Biofilik design </v>
      </c>
      <c r="F60" s="122">
        <f>VLOOKUP(D60,Poeng!$B$10:$AB$252,Poeng!AB$1,FALSE)</f>
        <v>1</v>
      </c>
      <c r="G60" s="43"/>
      <c r="H60" s="123">
        <f>VLOOKUP(D60,Poeng!$B$10:$AE$252,Poeng!AE$1,FALSE)</f>
        <v>0</v>
      </c>
      <c r="I60" s="124" t="str">
        <f>VLOOKUP(D60,Poeng!$B$10:$BE$252,Poeng!BE$1,FALSE)</f>
        <v>N/A</v>
      </c>
      <c r="J60" s="80"/>
      <c r="K60" s="281"/>
      <c r="L60" s="796"/>
      <c r="M60" s="816"/>
      <c r="N60" s="83"/>
      <c r="O60" s="123">
        <f>VLOOKUP(D60,Poeng!$B$10:$BC$252,Poeng!AF$1,FALSE)</f>
        <v>0</v>
      </c>
      <c r="P60" s="123" t="str">
        <f>VLOOKUP(D60,Poeng!$B$10:$BH$252,Poeng!BH$1,FALSE)</f>
        <v>N/A</v>
      </c>
      <c r="Q60" s="744"/>
      <c r="R60" s="745"/>
      <c r="S60" s="738"/>
      <c r="T60" s="319"/>
      <c r="U60" s="83"/>
      <c r="V60" s="123">
        <f>VLOOKUP(D60,Poeng!$B$10:$BC$252,Poeng!AG$1,FALSE)</f>
        <v>0</v>
      </c>
      <c r="W60" s="123" t="str">
        <f>VLOOKUP(D60,Poeng!$B$10:$BK$252,Poeng!BK$1,FALSE)</f>
        <v>N/A</v>
      </c>
      <c r="X60" s="81"/>
      <c r="Y60" s="80"/>
      <c r="Z60" s="738"/>
      <c r="AA60" s="133"/>
      <c r="AB60" s="640"/>
      <c r="AC60" s="107">
        <f t="shared" si="0"/>
        <v>1</v>
      </c>
      <c r="AD60" s="3" t="e">
        <f>VLOOKUP(K60,'Assessment Details'!$O$45:$P$48,2,FALSE)</f>
        <v>#N/A</v>
      </c>
      <c r="AE60" s="3" t="e">
        <f>VLOOKUP(R60,'Assessment Details'!$O$45:$P$48,2,FALSE)</f>
        <v>#N/A</v>
      </c>
      <c r="AF60" s="3" t="e">
        <f>VLOOKUP(Y60,'Assessment Details'!$O$45:$P$48,2,FALSE)</f>
        <v>#N/A</v>
      </c>
      <c r="AI60" s="70"/>
      <c r="AJ60" s="671"/>
      <c r="AK60" s="70"/>
      <c r="AL60" s="70"/>
      <c r="AM60" s="70"/>
      <c r="AN60" s="70"/>
      <c r="AO60" s="70"/>
      <c r="AP60" s="70"/>
      <c r="AS60" s="23"/>
      <c r="AT60" s="23"/>
      <c r="AU60" s="23"/>
      <c r="AV60" s="23"/>
      <c r="AW60" s="23"/>
      <c r="AX60" s="23"/>
      <c r="AZ60" s="640"/>
    </row>
    <row r="61" spans="1:52" x14ac:dyDescent="0.25">
      <c r="A61" s="1076">
        <v>52</v>
      </c>
      <c r="B61" s="1077" t="s">
        <v>65</v>
      </c>
      <c r="C61" s="924" t="s">
        <v>124</v>
      </c>
      <c r="D61" s="824" t="s">
        <v>124</v>
      </c>
      <c r="E61" s="860" t="str">
        <f>VLOOKUP(D61,Poeng!$B$10:$R$252,Poeng!E$1,FALSE)</f>
        <v>Hea 08 Private space</v>
      </c>
      <c r="F61" s="865">
        <f>VLOOKUP(D61,Poeng!$B$10:$AB$252,Poeng!AB$1,FALSE)</f>
        <v>0</v>
      </c>
      <c r="G61" s="1001"/>
      <c r="H61" s="866" t="str">
        <f>VLOOKUP(D61,Poeng!$B$10:$AI$252,Poeng!AI$1,FALSE)&amp;" c. "&amp;ROUND(VLOOKUP(D61,Poeng!$B$10:$AE$252,Poeng!AE$1,FALSE)*100,1)&amp;" %"</f>
        <v>0 c. 0 %</v>
      </c>
      <c r="I61" s="924" t="str">
        <f>VLOOKUP(D61,Poeng!$B$10:$BE$252,Poeng!BE$1,FALSE)</f>
        <v>N/A</v>
      </c>
      <c r="J61" s="80"/>
      <c r="K61" s="281"/>
      <c r="L61" s="796"/>
      <c r="M61" s="816"/>
      <c r="N61" s="1001"/>
      <c r="O61" s="877" t="str">
        <f>VLOOKUP(D61,Poeng!$B$10:$BC$252,Poeng!AJ$1,FALSE)&amp;" c. "&amp;ROUND(VLOOKUP(D61,Poeng!$B$10:$BC$252,Poeng!AF$1,FALSE)*100,1)&amp;" %"</f>
        <v>0 c. 0 %</v>
      </c>
      <c r="P61" s="123" t="str">
        <f>VLOOKUP(D61,Poeng!$B$10:$BH$252,Poeng!BH$1,FALSE)</f>
        <v>N/A</v>
      </c>
      <c r="Q61" s="744"/>
      <c r="R61" s="745"/>
      <c r="S61" s="738"/>
      <c r="T61" s="319"/>
      <c r="U61" s="1001"/>
      <c r="V61" s="877" t="str">
        <f>VLOOKUP(D61,Poeng!$B$10:$BC$252,Poeng!AK$1,FALSE)&amp;" c. "&amp;ROUND(VLOOKUP(D61,Poeng!$B$10:$BC$252,Poeng!AG$1,FALSE)*100,1)&amp;" %"</f>
        <v>0 c. 0 %</v>
      </c>
      <c r="W61" s="123" t="str">
        <f>VLOOKUP(D61,Poeng!$B$10:$BK$252,Poeng!BK$1,FALSE)</f>
        <v>N/A</v>
      </c>
      <c r="X61" s="81"/>
      <c r="Y61" s="80"/>
      <c r="Z61" s="738"/>
      <c r="AA61" s="133"/>
      <c r="AB61" s="640" t="s">
        <v>14</v>
      </c>
      <c r="AC61" s="107">
        <f t="shared" si="0"/>
        <v>2</v>
      </c>
      <c r="AD61" s="3" t="e">
        <f>VLOOKUP(K61,'Assessment Details'!$O$45:$P$48,2,FALSE)</f>
        <v>#N/A</v>
      </c>
      <c r="AE61" s="3" t="e">
        <f>VLOOKUP(R61,'Assessment Details'!$O$45:$P$48,2,FALSE)</f>
        <v>#N/A</v>
      </c>
      <c r="AF61" s="3" t="e">
        <f>VLOOKUP(Y61,'Assessment Details'!$O$45:$P$48,2,FALSE)</f>
        <v>#N/A</v>
      </c>
      <c r="AI61" s="70"/>
      <c r="AJ61" s="671" t="s">
        <v>116</v>
      </c>
      <c r="AK61" s="70"/>
      <c r="AL61" s="70"/>
      <c r="AM61" s="70"/>
      <c r="AN61" s="70"/>
      <c r="AO61" s="70"/>
      <c r="AP61" s="70"/>
      <c r="AS61" s="23" t="str">
        <f t="shared" si="3"/>
        <v>N/A</v>
      </c>
      <c r="AT61" s="23" t="str">
        <f t="shared" si="1"/>
        <v>N/A</v>
      </c>
      <c r="AU61" s="23" t="str">
        <f t="shared" si="2"/>
        <v>N/A</v>
      </c>
      <c r="AV61" s="23"/>
      <c r="AW61" s="23"/>
      <c r="AX61" s="23"/>
      <c r="AZ61" s="640"/>
    </row>
    <row r="62" spans="1:52" x14ac:dyDescent="0.25">
      <c r="A62" s="1076">
        <v>53</v>
      </c>
      <c r="B62" s="1077" t="s">
        <v>65</v>
      </c>
      <c r="C62" s="1082" t="str">
        <f t="shared" si="7"/>
        <v>Hea 08</v>
      </c>
      <c r="D62" s="824" t="s">
        <v>744</v>
      </c>
      <c r="E62" s="861" t="str">
        <f>VLOOKUP(D62,Poeng!$B$10:$R$252,Poeng!E$1,FALSE)</f>
        <v xml:space="preserve">Private outdoor spaces </v>
      </c>
      <c r="F62" s="122">
        <f>VLOOKUP(D62,Poeng!$B$10:$AB$252,Poeng!AB$1,FALSE)</f>
        <v>0</v>
      </c>
      <c r="G62" s="43"/>
      <c r="H62" s="123">
        <f>VLOOKUP(D62,Poeng!$B$10:$AE$252,Poeng!AE$1,FALSE)</f>
        <v>0</v>
      </c>
      <c r="I62" s="124" t="str">
        <f>VLOOKUP(D62,Poeng!$B$10:$BE$252,Poeng!BE$1,FALSE)</f>
        <v>N/A</v>
      </c>
      <c r="J62" s="80"/>
      <c r="K62" s="281"/>
      <c r="L62" s="796"/>
      <c r="M62" s="816"/>
      <c r="N62" s="83"/>
      <c r="O62" s="123">
        <f>VLOOKUP(D62,Poeng!$B$10:$BC$252,Poeng!AF$1,FALSE)</f>
        <v>0</v>
      </c>
      <c r="P62" s="123" t="str">
        <f>VLOOKUP(D62,Poeng!$B$10:$BH$252,Poeng!BH$1,FALSE)</f>
        <v>N/A</v>
      </c>
      <c r="Q62" s="744"/>
      <c r="R62" s="745"/>
      <c r="S62" s="1095"/>
      <c r="T62" s="319"/>
      <c r="U62" s="83"/>
      <c r="V62" s="123">
        <f>VLOOKUP(D62,Poeng!$B$10:$BC$252,Poeng!AG$1,FALSE)</f>
        <v>0</v>
      </c>
      <c r="W62" s="123" t="str">
        <f>VLOOKUP(D62,Poeng!$B$10:$BK$252,Poeng!BK$1,FALSE)</f>
        <v>N/A</v>
      </c>
      <c r="X62" s="81"/>
      <c r="Y62" s="80"/>
      <c r="Z62" s="1095"/>
      <c r="AA62" s="133"/>
      <c r="AB62" s="714"/>
      <c r="AC62" s="107">
        <f t="shared" si="0"/>
        <v>2</v>
      </c>
      <c r="AD62" s="3" t="e">
        <f>VLOOKUP(K62,'Assessment Details'!$O$45:$P$48,2,FALSE)</f>
        <v>#N/A</v>
      </c>
      <c r="AE62" s="3" t="e">
        <f>VLOOKUP(R62,'Assessment Details'!$O$45:$P$48,2,FALSE)</f>
        <v>#N/A</v>
      </c>
      <c r="AF62" s="3" t="e">
        <f>VLOOKUP(Y62,'Assessment Details'!$O$45:$P$48,2,FALSE)</f>
        <v>#N/A</v>
      </c>
      <c r="AI62" s="70"/>
      <c r="AJ62" s="671"/>
      <c r="AK62" s="70"/>
      <c r="AL62" s="70"/>
      <c r="AM62" s="70"/>
      <c r="AN62" s="70"/>
      <c r="AO62" s="70"/>
      <c r="AP62" s="70"/>
      <c r="AS62" s="23"/>
      <c r="AT62" s="23"/>
      <c r="AU62" s="23"/>
      <c r="AV62" s="23"/>
      <c r="AW62" s="23"/>
      <c r="AX62" s="23"/>
      <c r="AZ62" s="714"/>
    </row>
    <row r="63" spans="1:52" ht="15.75" thickBot="1" x14ac:dyDescent="0.3">
      <c r="A63" s="1076">
        <v>54</v>
      </c>
      <c r="B63" s="1077" t="s">
        <v>65</v>
      </c>
      <c r="C63" s="1083"/>
      <c r="D63" s="824" t="s">
        <v>883</v>
      </c>
      <c r="E63" s="320" t="s">
        <v>104</v>
      </c>
      <c r="F63" s="125">
        <f>Hea_Credits</f>
        <v>19</v>
      </c>
      <c r="G63" s="131"/>
      <c r="H63" s="126">
        <f>Hea_cont_tot</f>
        <v>0</v>
      </c>
      <c r="I63" s="867" t="str">
        <f>"Credits achieved: "&amp;HW_tot_user</f>
        <v>Credits achieved: 0</v>
      </c>
      <c r="J63" s="134"/>
      <c r="K63" s="282"/>
      <c r="L63" s="746"/>
      <c r="M63" s="816"/>
      <c r="N63" s="383"/>
      <c r="O63" s="126">
        <f>VLOOKUP(D63,Poeng!$B$10:$BC$252,Poeng!AF$1,FALSE)</f>
        <v>0</v>
      </c>
      <c r="P63" s="867" t="str">
        <f>"Credits achieved: "&amp;HW_d_user</f>
        <v>Credits achieved: 0</v>
      </c>
      <c r="Q63" s="747"/>
      <c r="R63" s="748"/>
      <c r="S63" s="746"/>
      <c r="T63" s="319"/>
      <c r="U63" s="383"/>
      <c r="V63" s="126">
        <f>VLOOKUP(D63,Poeng!$B$10:$BC$252,Poeng!AG$1,FALSE)</f>
        <v>0</v>
      </c>
      <c r="W63" s="867" t="str">
        <f>"Credits achieved: "&amp;HW_c_user</f>
        <v>Credits achieved: 0</v>
      </c>
      <c r="X63" s="382"/>
      <c r="Y63" s="136"/>
      <c r="Z63" s="746"/>
      <c r="AA63" s="133"/>
      <c r="AB63" s="641"/>
      <c r="AC63" s="107">
        <f t="shared" si="0"/>
        <v>1</v>
      </c>
      <c r="AD63" s="276">
        <v>0</v>
      </c>
      <c r="AE63" s="276">
        <v>0</v>
      </c>
      <c r="AF63" s="276">
        <v>0</v>
      </c>
      <c r="AI63" s="70"/>
      <c r="AJ63" s="671" t="s">
        <v>104</v>
      </c>
      <c r="AK63" s="70"/>
      <c r="AL63" s="70"/>
      <c r="AM63" s="70"/>
      <c r="AN63" s="70"/>
      <c r="AO63" s="70"/>
      <c r="AP63" s="70"/>
      <c r="AS63" s="23" t="str">
        <f t="shared" si="3"/>
        <v>N/A</v>
      </c>
      <c r="AT63" s="23" t="str">
        <f t="shared" si="1"/>
        <v>N/A</v>
      </c>
      <c r="AU63" s="23" t="str">
        <f t="shared" si="2"/>
        <v>N/A</v>
      </c>
      <c r="AV63" s="23"/>
      <c r="AW63" s="23"/>
      <c r="AX63" s="23"/>
      <c r="AZ63" s="641"/>
    </row>
    <row r="64" spans="1:52" x14ac:dyDescent="0.25">
      <c r="A64" s="1076">
        <v>55</v>
      </c>
      <c r="B64" s="1077" t="s">
        <v>65</v>
      </c>
      <c r="C64" s="1085"/>
      <c r="D64" s="824"/>
      <c r="E64" s="334"/>
      <c r="F64" s="322"/>
      <c r="G64" s="323"/>
      <c r="H64" s="322"/>
      <c r="I64" s="322"/>
      <c r="J64" s="324"/>
      <c r="K64" s="323"/>
      <c r="L64" s="749"/>
      <c r="M64" s="815"/>
      <c r="N64" s="325"/>
      <c r="O64" s="325"/>
      <c r="P64" s="749"/>
      <c r="Q64" s="749"/>
      <c r="R64" s="750"/>
      <c r="S64" s="1094"/>
      <c r="T64" s="326"/>
      <c r="U64" s="325"/>
      <c r="V64" s="325"/>
      <c r="W64" s="749"/>
      <c r="X64" s="324"/>
      <c r="Y64" s="325"/>
      <c r="Z64" s="1094"/>
      <c r="AA64" s="699"/>
      <c r="AB64" s="324"/>
      <c r="AC64" s="107">
        <f t="shared" si="0"/>
        <v>1</v>
      </c>
      <c r="AD64" s="278">
        <v>0</v>
      </c>
      <c r="AE64" s="278">
        <v>0</v>
      </c>
      <c r="AF64" s="278">
        <v>0</v>
      </c>
      <c r="AI64" s="70"/>
      <c r="AJ64" s="671"/>
      <c r="AK64" s="70"/>
      <c r="AL64" s="70"/>
      <c r="AM64" s="70"/>
      <c r="AN64" s="70"/>
      <c r="AO64" s="70"/>
      <c r="AP64" s="70"/>
      <c r="AS64" s="23" t="str">
        <f t="shared" si="3"/>
        <v>N/A</v>
      </c>
      <c r="AT64" s="23" t="str">
        <f t="shared" si="1"/>
        <v>N/A</v>
      </c>
      <c r="AU64" s="23" t="str">
        <f t="shared" si="2"/>
        <v>N/A</v>
      </c>
      <c r="AV64" s="23"/>
      <c r="AW64" s="23"/>
      <c r="AX64" s="23"/>
      <c r="AZ64" s="324"/>
    </row>
    <row r="65" spans="1:52" ht="18.75" x14ac:dyDescent="0.25">
      <c r="A65" s="1076">
        <v>56</v>
      </c>
      <c r="B65" s="1077" t="s">
        <v>66</v>
      </c>
      <c r="C65" s="1086"/>
      <c r="D65" s="824"/>
      <c r="E65" s="335" t="s">
        <v>44</v>
      </c>
      <c r="F65" s="315"/>
      <c r="G65" s="316"/>
      <c r="H65" s="336"/>
      <c r="I65" s="315"/>
      <c r="J65" s="328"/>
      <c r="K65" s="329"/>
      <c r="L65" s="752"/>
      <c r="M65" s="815"/>
      <c r="N65" s="339"/>
      <c r="O65" s="332"/>
      <c r="P65" s="742"/>
      <c r="Q65" s="753"/>
      <c r="R65" s="754"/>
      <c r="S65" s="755"/>
      <c r="T65" s="319"/>
      <c r="U65" s="339"/>
      <c r="V65" s="338"/>
      <c r="W65" s="742"/>
      <c r="X65" s="328"/>
      <c r="Y65" s="338"/>
      <c r="Z65" s="752"/>
      <c r="AA65" s="133"/>
      <c r="AB65" s="337"/>
      <c r="AC65" s="107">
        <f t="shared" si="0"/>
        <v>1</v>
      </c>
      <c r="AD65" s="275">
        <v>0</v>
      </c>
      <c r="AE65" s="275">
        <v>0</v>
      </c>
      <c r="AF65" s="275">
        <v>0</v>
      </c>
      <c r="AI65" s="70"/>
      <c r="AJ65" s="671" t="s">
        <v>44</v>
      </c>
      <c r="AK65" s="70"/>
      <c r="AL65" s="70"/>
      <c r="AM65" s="70"/>
      <c r="AN65" s="70"/>
      <c r="AO65" s="70"/>
      <c r="AP65" s="70"/>
      <c r="AS65" s="23" t="str">
        <f t="shared" si="3"/>
        <v>N/A</v>
      </c>
      <c r="AT65" s="23" t="str">
        <f t="shared" si="1"/>
        <v>N/A</v>
      </c>
      <c r="AU65" s="23" t="str">
        <f t="shared" si="2"/>
        <v>N/A</v>
      </c>
      <c r="AV65" s="23"/>
      <c r="AW65" s="23"/>
      <c r="AX65" s="23"/>
      <c r="AZ65" s="337"/>
    </row>
    <row r="66" spans="1:52" x14ac:dyDescent="0.25">
      <c r="A66" s="1076">
        <v>57</v>
      </c>
      <c r="B66" s="1077" t="s">
        <v>66</v>
      </c>
      <c r="C66" s="924" t="s">
        <v>135</v>
      </c>
      <c r="D66" s="824" t="s">
        <v>135</v>
      </c>
      <c r="E66" s="860" t="str">
        <f>VLOOKUP(D66,Poeng!$B$10:$R$252,Poeng!E$1,FALSE)</f>
        <v>Ene 01 Energy efficiency</v>
      </c>
      <c r="F66" s="865">
        <f>VLOOKUP(D66,Poeng!$B$10:$AB$252,Poeng!AB$1,FALSE)</f>
        <v>12</v>
      </c>
      <c r="G66" s="1000"/>
      <c r="H66" s="866" t="str">
        <f>VLOOKUP(D66,Poeng!$B$10:$AI$252,Poeng!AI$1,FALSE)&amp;" c. "&amp;ROUND(VLOOKUP(D66,Poeng!$B$10:$AE$252,Poeng!AE$1,FALSE)*100,1)&amp;" %"</f>
        <v>0 c. 0 %</v>
      </c>
      <c r="I66" s="923" t="str">
        <f>VLOOKUP(D66,Poeng!$B$10:$BE$252,Poeng!BE$1,FALSE)</f>
        <v>N/A</v>
      </c>
      <c r="J66" s="874"/>
      <c r="K66" s="875"/>
      <c r="L66" s="876"/>
      <c r="M66" s="815"/>
      <c r="N66" s="1001"/>
      <c r="O66" s="1093" t="str">
        <f>VLOOKUP(D66,Poeng!$B$10:$BC$252,Poeng!AJ$1,FALSE)&amp;" c. "&amp;ROUND(VLOOKUP(D66,Poeng!$B$10:$BC$252,Poeng!AF$1,FALSE)*100,1)&amp;" %"</f>
        <v>0 c. 0 %</v>
      </c>
      <c r="P66" s="123" t="str">
        <f>VLOOKUP(D66,Poeng!$B$10:$BH$252,Poeng!BH$1,FALSE)</f>
        <v>N/A</v>
      </c>
      <c r="Q66" s="744"/>
      <c r="R66" s="745"/>
      <c r="S66" s="738"/>
      <c r="T66" s="319"/>
      <c r="U66" s="1001"/>
      <c r="V66" s="877" t="str">
        <f>VLOOKUP(D66,Poeng!$B$10:$BC$252,Poeng!AK$1,FALSE)&amp;" c. "&amp;ROUND(VLOOKUP(D66,Poeng!$B$10:$BC$252,Poeng!AG$1,FALSE)*100,1)&amp;" %"</f>
        <v>0 c. 0 %</v>
      </c>
      <c r="W66" s="123" t="str">
        <f>VLOOKUP(D66,Poeng!$B$10:$BK$252,Poeng!BK$1,FALSE)</f>
        <v>N/A</v>
      </c>
      <c r="X66" s="81"/>
      <c r="Y66" s="80"/>
      <c r="Z66" s="738"/>
      <c r="AA66" s="133"/>
      <c r="AB66" s="640" t="s">
        <v>13</v>
      </c>
      <c r="AC66" s="107">
        <f t="shared" si="0"/>
        <v>1</v>
      </c>
      <c r="AD66" s="3" t="e">
        <f>VLOOKUP(K66,'Assessment Details'!$O$45:$P$48,2,FALSE)</f>
        <v>#N/A</v>
      </c>
      <c r="AE66" s="3" t="e">
        <f>VLOOKUP(R66,'Assessment Details'!$O$45:$P$48,2,FALSE)</f>
        <v>#N/A</v>
      </c>
      <c r="AF66" s="3" t="e">
        <f>VLOOKUP(Y66,'Assessment Details'!$O$45:$P$48,2,FALSE)</f>
        <v>#N/A</v>
      </c>
      <c r="AI66" s="70"/>
      <c r="AJ66" s="671" t="s">
        <v>128</v>
      </c>
      <c r="AK66" s="648" t="s">
        <v>406</v>
      </c>
      <c r="AL66" s="648" t="s">
        <v>408</v>
      </c>
      <c r="AM66" s="70"/>
      <c r="AN66" s="70"/>
      <c r="AO66" s="70"/>
      <c r="AP66" s="70"/>
      <c r="AR66" s="1" t="s">
        <v>13</v>
      </c>
      <c r="AS66" s="23" t="str">
        <f t="shared" si="3"/>
        <v>N/A</v>
      </c>
      <c r="AT66" s="23" t="str">
        <f t="shared" si="1"/>
        <v>N/A</v>
      </c>
      <c r="AU66" s="23" t="str">
        <f t="shared" si="2"/>
        <v>N/A</v>
      </c>
      <c r="AV66" s="23"/>
      <c r="AW66" s="23"/>
      <c r="AX66" s="23"/>
      <c r="AZ66" s="640"/>
    </row>
    <row r="67" spans="1:52" x14ac:dyDescent="0.25">
      <c r="A67" s="1076">
        <v>58</v>
      </c>
      <c r="B67" s="1077" t="s">
        <v>66</v>
      </c>
      <c r="C67" s="1082" t="str">
        <f t="shared" si="7"/>
        <v>Ene 01</v>
      </c>
      <c r="D67" s="19" t="s">
        <v>745</v>
      </c>
      <c r="E67" s="861" t="str">
        <f>VLOOKUP(D67,Poeng!$B$10:$R$252,Poeng!E$1,FALSE)</f>
        <v xml:space="preserve">Passive design </v>
      </c>
      <c r="F67" s="122">
        <f>VLOOKUP(D67,Poeng!$B$10:$AB$252,Poeng!AB$1,FALSE)</f>
        <v>2</v>
      </c>
      <c r="G67" s="43"/>
      <c r="H67" s="123">
        <f>VLOOKUP(D67,Poeng!$B$10:$AE$252,Poeng!AE$1,FALSE)</f>
        <v>0</v>
      </c>
      <c r="I67" s="124" t="str">
        <f>VLOOKUP(D67,Poeng!$B$10:$BE$252,Poeng!BE$1,FALSE)</f>
        <v>N/A</v>
      </c>
      <c r="J67" s="80"/>
      <c r="K67" s="281"/>
      <c r="L67" s="738"/>
      <c r="M67" s="816"/>
      <c r="N67" s="83"/>
      <c r="O67" s="123">
        <f>VLOOKUP(D67,Poeng!$B$10:$BC$252,Poeng!AF$1,FALSE)</f>
        <v>0</v>
      </c>
      <c r="P67" s="123" t="str">
        <f>VLOOKUP(D67,Poeng!$B$10:$BH$252,Poeng!BH$1,FALSE)</f>
        <v>N/A</v>
      </c>
      <c r="Q67" s="744"/>
      <c r="R67" s="745"/>
      <c r="S67" s="738"/>
      <c r="T67" s="319"/>
      <c r="U67" s="83"/>
      <c r="V67" s="123">
        <f>VLOOKUP(D67,Poeng!$B$10:$BC$252,Poeng!AG$1,FALSE)</f>
        <v>0</v>
      </c>
      <c r="W67" s="123" t="str">
        <f>VLOOKUP(D67,Poeng!$B$10:$BK$252,Poeng!BK$1,FALSE)</f>
        <v>N/A</v>
      </c>
      <c r="X67" s="81"/>
      <c r="Y67" s="80"/>
      <c r="Z67" s="738"/>
      <c r="AC67" s="107">
        <f t="shared" si="0"/>
        <v>1</v>
      </c>
      <c r="AD67" s="3" t="e">
        <f>VLOOKUP(K67,'Assessment Details'!$O$45:$P$48,2,FALSE)</f>
        <v>#N/A</v>
      </c>
      <c r="AE67" s="3" t="e">
        <f>VLOOKUP(R67,'Assessment Details'!$O$45:$P$48,2,FALSE)</f>
        <v>#N/A</v>
      </c>
      <c r="AF67" s="3" t="e">
        <f>VLOOKUP(Y67,'Assessment Details'!$O$45:$P$48,2,FALSE)</f>
        <v>#N/A</v>
      </c>
    </row>
    <row r="68" spans="1:52" x14ac:dyDescent="0.25">
      <c r="A68" s="1076">
        <v>59</v>
      </c>
      <c r="B68" s="1077" t="s">
        <v>66</v>
      </c>
      <c r="C68" s="1082" t="str">
        <f t="shared" si="7"/>
        <v>Ene 01</v>
      </c>
      <c r="D68" s="19" t="s">
        <v>746</v>
      </c>
      <c r="E68" s="861" t="str">
        <f>VLOOKUP(D68,Poeng!$B$10:$R$252,Poeng!E$1,FALSE)</f>
        <v xml:space="preserve">Low and zero carbon technologies </v>
      </c>
      <c r="F68" s="122">
        <f>VLOOKUP(D68,Poeng!$B$10:$AB$252,Poeng!AB$1,FALSE)</f>
        <v>1</v>
      </c>
      <c r="G68" s="43"/>
      <c r="H68" s="123">
        <f>VLOOKUP(D68,Poeng!$B$10:$AE$252,Poeng!AE$1,FALSE)</f>
        <v>0</v>
      </c>
      <c r="I68" s="124" t="str">
        <f>VLOOKUP(D68,Poeng!$B$10:$BE$252,Poeng!BE$1,FALSE)</f>
        <v>N/A</v>
      </c>
      <c r="J68" s="80"/>
      <c r="K68" s="281"/>
      <c r="L68" s="796"/>
      <c r="M68" s="816"/>
      <c r="N68" s="83"/>
      <c r="O68" s="123">
        <f>VLOOKUP(D68,Poeng!$B$10:$BC$252,Poeng!AF$1,FALSE)</f>
        <v>0</v>
      </c>
      <c r="P68" s="123" t="str">
        <f>VLOOKUP(D68,Poeng!$B$10:$BH$252,Poeng!BH$1,FALSE)</f>
        <v>N/A</v>
      </c>
      <c r="Q68" s="744"/>
      <c r="R68" s="745"/>
      <c r="S68" s="738"/>
      <c r="T68" s="319"/>
      <c r="U68" s="83"/>
      <c r="V68" s="123">
        <f>VLOOKUP(D68,Poeng!$B$10:$BC$252,Poeng!AG$1,FALSE)</f>
        <v>0</v>
      </c>
      <c r="W68" s="123" t="str">
        <f>VLOOKUP(D68,Poeng!$B$10:$BK$252,Poeng!BK$1,FALSE)</f>
        <v>N/A</v>
      </c>
      <c r="X68" s="81"/>
      <c r="Y68" s="80"/>
      <c r="Z68" s="738"/>
      <c r="AC68" s="107">
        <f t="shared" si="0"/>
        <v>1</v>
      </c>
      <c r="AD68" s="3" t="e">
        <f>VLOOKUP(K68,'Assessment Details'!$O$45:$P$48,2,FALSE)</f>
        <v>#N/A</v>
      </c>
      <c r="AE68" s="3" t="e">
        <f>VLOOKUP(R68,'Assessment Details'!$O$45:$P$48,2,FALSE)</f>
        <v>#N/A</v>
      </c>
      <c r="AF68" s="3" t="e">
        <f>VLOOKUP(Y68,'Assessment Details'!$O$45:$P$48,2,FALSE)</f>
        <v>#N/A</v>
      </c>
    </row>
    <row r="69" spans="1:52" x14ac:dyDescent="0.25">
      <c r="A69" s="1076">
        <v>60</v>
      </c>
      <c r="B69" s="1077" t="s">
        <v>66</v>
      </c>
      <c r="C69" s="1082" t="str">
        <f>C68</f>
        <v>Ene 01</v>
      </c>
      <c r="D69" s="19" t="s">
        <v>747</v>
      </c>
      <c r="E69" s="861" t="str">
        <f>VLOOKUP(D69,Poeng!$B$10:$R$252,Poeng!E$1,FALSE)</f>
        <v xml:space="preserve">Energy performance </v>
      </c>
      <c r="F69" s="122">
        <f>VLOOKUP(D69,Poeng!$B$10:$AB$252,Poeng!AB$1,FALSE)</f>
        <v>4</v>
      </c>
      <c r="G69" s="43"/>
      <c r="H69" s="123">
        <f>VLOOKUP(D69,Poeng!$B$10:$AE$252,Poeng!AE$1,FALSE)</f>
        <v>0</v>
      </c>
      <c r="I69" s="124" t="str">
        <f>VLOOKUP(D69,Poeng!$B$10:$BE$252,Poeng!BE$1,FALSE)</f>
        <v>Very Good</v>
      </c>
      <c r="J69" s="80"/>
      <c r="K69" s="281"/>
      <c r="L69" s="796"/>
      <c r="M69" s="816"/>
      <c r="N69" s="83"/>
      <c r="O69" s="123">
        <f>VLOOKUP(D69,Poeng!$B$10:$BC$252,Poeng!AF$1,FALSE)</f>
        <v>0</v>
      </c>
      <c r="P69" s="123" t="str">
        <f>VLOOKUP(D69,Poeng!$B$10:$BH$252,Poeng!BH$1,FALSE)</f>
        <v>Very Good</v>
      </c>
      <c r="Q69" s="744"/>
      <c r="R69" s="745"/>
      <c r="S69" s="738"/>
      <c r="T69" s="319"/>
      <c r="U69" s="83"/>
      <c r="V69" s="123">
        <f>VLOOKUP(D69,Poeng!$B$10:$BC$252,Poeng!AG$1,FALSE)</f>
        <v>0</v>
      </c>
      <c r="W69" s="123" t="str">
        <f>VLOOKUP(D69,Poeng!$B$10:$BK$252,Poeng!BK$1,FALSE)</f>
        <v>Very Good</v>
      </c>
      <c r="X69" s="81"/>
      <c r="Y69" s="80"/>
      <c r="Z69" s="738"/>
      <c r="AC69" s="107">
        <f t="shared" si="0"/>
        <v>1</v>
      </c>
      <c r="AD69" s="3" t="e">
        <f>VLOOKUP(K69,'Assessment Details'!$O$45:$P$48,2,FALSE)</f>
        <v>#N/A</v>
      </c>
      <c r="AE69" s="3" t="e">
        <f>VLOOKUP(R69,'Assessment Details'!$O$45:$P$48,2,FALSE)</f>
        <v>#N/A</v>
      </c>
      <c r="AF69" s="3" t="e">
        <f>VLOOKUP(Y69,'Assessment Details'!$O$45:$P$48,2,FALSE)</f>
        <v>#N/A</v>
      </c>
    </row>
    <row r="70" spans="1:52" x14ac:dyDescent="0.25">
      <c r="A70" s="1076">
        <v>61</v>
      </c>
      <c r="B70" s="1077" t="s">
        <v>66</v>
      </c>
      <c r="C70" s="1082" t="str">
        <f>C68</f>
        <v>Ene 01</v>
      </c>
      <c r="D70" s="19" t="s">
        <v>1019</v>
      </c>
      <c r="E70" s="1255" t="str">
        <f>VLOOKUP(D70,Poeng!$B$10:$R$258,Poeng!E$1,FALSE)</f>
        <v>EU taxonomy requirements: criterion 9 and 10 - Energy performance</v>
      </c>
      <c r="F70" s="122" t="str">
        <f>VLOOKUP(D70,Poeng!$B$10:$AB$258,Poeng!AB$1,FALSE)</f>
        <v>Yes/No</v>
      </c>
      <c r="G70" s="43"/>
      <c r="H70" s="123" t="str">
        <f>VLOOKUP(D70,Poeng!$B$10:$AE$258,Poeng!AE$1,FALSE)</f>
        <v>-</v>
      </c>
      <c r="I70" s="124" t="str">
        <f>VLOOKUP(D70,Poeng!$B$10:$BE$258,Poeng!BE$1,FALSE)</f>
        <v>N/A</v>
      </c>
      <c r="J70" s="80"/>
      <c r="K70" s="281"/>
      <c r="L70" s="796"/>
      <c r="M70" s="816"/>
      <c r="N70" s="83"/>
      <c r="O70" s="123" t="str">
        <f>VLOOKUP(D70,Poeng!$B$10:$BC$258,Poeng!AF$1,FALSE)</f>
        <v>-</v>
      </c>
      <c r="P70" s="123" t="str">
        <f>VLOOKUP(D70,Poeng!$B$10:$BH$258,Poeng!BH$1,FALSE)</f>
        <v>N/A</v>
      </c>
      <c r="Q70" s="744"/>
      <c r="R70" s="745"/>
      <c r="S70" s="738"/>
      <c r="T70" s="319"/>
      <c r="U70" s="83"/>
      <c r="V70" s="123" t="str">
        <f>VLOOKUP(D70,Poeng!$B$10:$BC$258,Poeng!AG$1,FALSE)</f>
        <v>-</v>
      </c>
      <c r="W70" s="123" t="str">
        <f>VLOOKUP(D70,Poeng!$B$10:$BK$258,Poeng!BK$1,FALSE)</f>
        <v>N/A</v>
      </c>
      <c r="X70" s="81"/>
      <c r="Y70" s="80"/>
      <c r="Z70" s="738"/>
      <c r="AC70" s="107">
        <f t="shared" ref="AC70" si="10">IF(F70="",1,IF(F70=0,2,1))</f>
        <v>1</v>
      </c>
      <c r="AD70" s="3" t="e">
        <f>VLOOKUP(K70,'Assessment Details'!$O$45:$P$48,2,FALSE)</f>
        <v>#N/A</v>
      </c>
      <c r="AE70" s="3" t="e">
        <f>VLOOKUP(R70,'Assessment Details'!$O$45:$P$48,2,FALSE)</f>
        <v>#N/A</v>
      </c>
      <c r="AF70" s="3" t="e">
        <f>VLOOKUP(Y70,'Assessment Details'!$O$45:$P$48,2,FALSE)</f>
        <v>#N/A</v>
      </c>
    </row>
    <row r="71" spans="1:52" x14ac:dyDescent="0.25">
      <c r="A71" s="1076">
        <v>62</v>
      </c>
      <c r="B71" s="1077" t="s">
        <v>66</v>
      </c>
      <c r="C71" s="1082" t="str">
        <f>C69</f>
        <v>Ene 01</v>
      </c>
      <c r="D71" s="19" t="s">
        <v>748</v>
      </c>
      <c r="E71" s="861" t="str">
        <f>VLOOKUP(D71,Poeng!$B$10:$R$252,Poeng!E$1,FALSE)</f>
        <v>Adaptation to EU taxonomy (EU taxonomy requirements: criterion 12)</v>
      </c>
      <c r="F71" s="122">
        <f>VLOOKUP(D71,Poeng!$B$10:$AB$252,Poeng!AB$1,FALSE)</f>
        <v>1</v>
      </c>
      <c r="G71" s="43"/>
      <c r="H71" s="123">
        <f>VLOOKUP(D71,Poeng!$B$10:$AE$252,Poeng!AE$1,FALSE)</f>
        <v>0</v>
      </c>
      <c r="I71" s="124" t="str">
        <f>VLOOKUP(D71,Poeng!$B$10:$BE$252,Poeng!BE$1,FALSE)</f>
        <v>Very Good</v>
      </c>
      <c r="J71" s="80"/>
      <c r="K71" s="281"/>
      <c r="L71" s="796"/>
      <c r="M71" s="816"/>
      <c r="N71" s="83"/>
      <c r="O71" s="123">
        <f>VLOOKUP(D71,Poeng!$B$10:$BC$252,Poeng!AF$1,FALSE)</f>
        <v>0</v>
      </c>
      <c r="P71" s="123" t="str">
        <f>VLOOKUP(D71,Poeng!$B$10:$BH$252,Poeng!BH$1,FALSE)</f>
        <v>Very Good</v>
      </c>
      <c r="Q71" s="744"/>
      <c r="R71" s="745"/>
      <c r="S71" s="738"/>
      <c r="T71" s="319"/>
      <c r="U71" s="83"/>
      <c r="V71" s="123">
        <f>VLOOKUP(D71,Poeng!$B$10:$BC$252,Poeng!AG$1,FALSE)</f>
        <v>0</v>
      </c>
      <c r="W71" s="123" t="str">
        <f>VLOOKUP(D71,Poeng!$B$10:$BK$252,Poeng!BK$1,FALSE)</f>
        <v>Very Good</v>
      </c>
      <c r="X71" s="81"/>
      <c r="Y71" s="80"/>
      <c r="Z71" s="738"/>
      <c r="AC71" s="107">
        <f t="shared" si="0"/>
        <v>1</v>
      </c>
      <c r="AD71" s="3" t="e">
        <f>VLOOKUP(K71,'Assessment Details'!$O$45:$P$48,2,FALSE)</f>
        <v>#N/A</v>
      </c>
      <c r="AE71" s="3" t="e">
        <f>VLOOKUP(R71,'Assessment Details'!$O$45:$P$48,2,FALSE)</f>
        <v>#N/A</v>
      </c>
      <c r="AF71" s="3" t="e">
        <f>VLOOKUP(Y71,'Assessment Details'!$O$45:$P$48,2,FALSE)</f>
        <v>#N/A</v>
      </c>
    </row>
    <row r="72" spans="1:52" x14ac:dyDescent="0.25">
      <c r="A72" s="1076">
        <v>63</v>
      </c>
      <c r="B72" s="1077" t="s">
        <v>66</v>
      </c>
      <c r="C72" s="1082" t="str">
        <f>C71</f>
        <v>Ene 01</v>
      </c>
      <c r="D72" s="19" t="s">
        <v>749</v>
      </c>
      <c r="E72" s="861" t="str">
        <f>VLOOKUP(D72,Poeng!$B$10:$R$252,Poeng!E$1,FALSE)</f>
        <v xml:space="preserve">Prediction of operational energy consumption </v>
      </c>
      <c r="F72" s="122">
        <f>VLOOKUP(D72,Poeng!$B$10:$AB$252,Poeng!AB$1,FALSE)</f>
        <v>4</v>
      </c>
      <c r="G72" s="43"/>
      <c r="H72" s="123">
        <f>VLOOKUP(D72,Poeng!$B$10:$AE$252,Poeng!AE$1,FALSE)</f>
        <v>0</v>
      </c>
      <c r="I72" s="124" t="str">
        <f>VLOOKUP(D72,Poeng!$B$10:$BE$252,Poeng!BE$1,FALSE)</f>
        <v>N/A</v>
      </c>
      <c r="J72" s="80"/>
      <c r="K72" s="281"/>
      <c r="L72" s="796"/>
      <c r="M72" s="816"/>
      <c r="N72" s="83"/>
      <c r="O72" s="123">
        <f>VLOOKUP(D72,Poeng!$B$10:$BC$252,Poeng!AF$1,FALSE)</f>
        <v>0</v>
      </c>
      <c r="P72" s="123" t="str">
        <f>VLOOKUP(D72,Poeng!$B$10:$BH$252,Poeng!BH$1,FALSE)</f>
        <v>N/A</v>
      </c>
      <c r="Q72" s="744"/>
      <c r="R72" s="745"/>
      <c r="S72" s="738"/>
      <c r="T72" s="319"/>
      <c r="U72" s="83"/>
      <c r="V72" s="123">
        <f>VLOOKUP(D72,Poeng!$B$10:$BC$252,Poeng!AG$1,FALSE)</f>
        <v>0</v>
      </c>
      <c r="W72" s="123" t="str">
        <f>VLOOKUP(D72,Poeng!$B$10:$BK$252,Poeng!BK$1,FALSE)</f>
        <v>N/A</v>
      </c>
      <c r="X72" s="81"/>
      <c r="Y72" s="80"/>
      <c r="Z72" s="738"/>
      <c r="AC72" s="107">
        <f t="shared" si="0"/>
        <v>1</v>
      </c>
      <c r="AD72" s="3" t="e">
        <f>VLOOKUP(K72,'Assessment Details'!$O$45:$P$48,2,FALSE)</f>
        <v>#N/A</v>
      </c>
      <c r="AE72" s="3" t="e">
        <f>VLOOKUP(R72,'Assessment Details'!$O$45:$P$48,2,FALSE)</f>
        <v>#N/A</v>
      </c>
      <c r="AF72" s="3" t="e">
        <f>VLOOKUP(Y72,'Assessment Details'!$O$45:$P$48,2,FALSE)</f>
        <v>#N/A</v>
      </c>
    </row>
    <row r="73" spans="1:52" ht="24" x14ac:dyDescent="0.25">
      <c r="A73" s="1076">
        <v>64</v>
      </c>
      <c r="B73" s="1077" t="s">
        <v>66</v>
      </c>
      <c r="C73" s="924" t="s">
        <v>136</v>
      </c>
      <c r="D73" s="824" t="s">
        <v>136</v>
      </c>
      <c r="E73" s="860" t="str">
        <f>VLOOKUP(D73,Poeng!$B$10:$R$252,Poeng!E$1,FALSE)</f>
        <v>Ene 02 Energy monitoring</v>
      </c>
      <c r="F73" s="865">
        <f>VLOOKUP(D73,Poeng!$B$10:$AB$252,Poeng!AB$1,FALSE)</f>
        <v>2</v>
      </c>
      <c r="G73" s="1001"/>
      <c r="H73" s="866" t="str">
        <f>VLOOKUP(D73,Poeng!$B$10:$AI$252,Poeng!AI$1,FALSE)&amp;" c. "&amp;ROUND(VLOOKUP(D73,Poeng!$B$10:$AE$252,Poeng!AE$1,FALSE)*100,1)&amp;" %"</f>
        <v>0 c. 0 %</v>
      </c>
      <c r="I73" s="924" t="str">
        <f>VLOOKUP(D73,Poeng!$B$10:$BE$252,Poeng!BE$1,FALSE)</f>
        <v>N/A</v>
      </c>
      <c r="J73" s="80"/>
      <c r="K73" s="281"/>
      <c r="L73" s="796"/>
      <c r="M73" s="816"/>
      <c r="N73" s="1001"/>
      <c r="O73" s="877" t="str">
        <f>VLOOKUP(D73,Poeng!$B$10:$BC$252,Poeng!AJ$1,FALSE)&amp;" c. "&amp;ROUND(VLOOKUP(D73,Poeng!$B$10:$BC$252,Poeng!AF$1,FALSE)*100,1)&amp;" %"</f>
        <v>0 c. 0 %</v>
      </c>
      <c r="P73" s="123" t="str">
        <f>VLOOKUP(D73,Poeng!$B$10:$BH$252,Poeng!BH$1,FALSE)</f>
        <v>N/A</v>
      </c>
      <c r="Q73" s="744"/>
      <c r="R73" s="745"/>
      <c r="S73" s="738"/>
      <c r="T73" s="319"/>
      <c r="U73" s="1001"/>
      <c r="V73" s="877" t="str">
        <f>VLOOKUP(D73,Poeng!$B$10:$BC$252,Poeng!AK$1,FALSE)&amp;" c. "&amp;ROUND(VLOOKUP(D73,Poeng!$B$10:$BC$252,Poeng!AG$1,FALSE)*100,1)&amp;" %"</f>
        <v>0 c. 0 %</v>
      </c>
      <c r="W73" s="123" t="str">
        <f>VLOOKUP(D73,Poeng!$B$10:$BK$252,Poeng!BK$1,FALSE)</f>
        <v>N/A</v>
      </c>
      <c r="X73" s="81"/>
      <c r="Y73" s="80"/>
      <c r="Z73" s="738"/>
      <c r="AA73" s="133"/>
      <c r="AB73" s="684" t="s">
        <v>453</v>
      </c>
      <c r="AC73" s="107">
        <f t="shared" si="0"/>
        <v>1</v>
      </c>
      <c r="AD73" s="3" t="e">
        <f>VLOOKUP(K73,'Assessment Details'!$O$45:$P$48,2,FALSE)</f>
        <v>#N/A</v>
      </c>
      <c r="AE73" s="3" t="e">
        <f>VLOOKUP(R73,'Assessment Details'!$O$45:$P$48,2,FALSE)</f>
        <v>#N/A</v>
      </c>
      <c r="AF73" s="3" t="e">
        <f>VLOOKUP(Y73,'Assessment Details'!$O$45:$P$48,2,FALSE)</f>
        <v>#N/A</v>
      </c>
      <c r="AI73" s="70" t="str">
        <f>ais_ja</f>
        <v>Ja</v>
      </c>
      <c r="AJ73" s="671" t="s">
        <v>134</v>
      </c>
      <c r="AK73" s="653" t="s">
        <v>451</v>
      </c>
      <c r="AL73" s="653" t="s">
        <v>452</v>
      </c>
      <c r="AM73" s="653" t="s">
        <v>453</v>
      </c>
      <c r="AN73" s="653" t="s">
        <v>454</v>
      </c>
      <c r="AO73" s="653" t="s">
        <v>439</v>
      </c>
      <c r="AP73" s="70"/>
      <c r="AR73" s="1" t="str">
        <f>IF($AJ$8=ais_nei,AIS_NA,"No")</f>
        <v>No</v>
      </c>
      <c r="AS73" s="23" t="str">
        <f t="shared" ref="AS73:AX73" si="11">IF(OR($AJ$4=ais_nei,$AJ$8=ais_nei),AIS_NA,IF(AK73="",AIS_NA,AK73))</f>
        <v>N/A</v>
      </c>
      <c r="AT73" s="23" t="str">
        <f t="shared" si="11"/>
        <v>N/A</v>
      </c>
      <c r="AU73" s="23" t="str">
        <f t="shared" si="11"/>
        <v>N/A</v>
      </c>
      <c r="AV73" s="23" t="str">
        <f t="shared" si="11"/>
        <v>N/A</v>
      </c>
      <c r="AW73" s="23" t="str">
        <f t="shared" si="11"/>
        <v>N/A</v>
      </c>
      <c r="AX73" s="23" t="str">
        <f t="shared" si="11"/>
        <v>N/A</v>
      </c>
      <c r="AY73" s="1" t="s">
        <v>12</v>
      </c>
      <c r="AZ73" s="640"/>
    </row>
    <row r="74" spans="1:52" x14ac:dyDescent="0.25">
      <c r="A74" s="1076">
        <v>65</v>
      </c>
      <c r="B74" s="1077" t="s">
        <v>66</v>
      </c>
      <c r="C74" s="1082" t="str">
        <f t="shared" si="7"/>
        <v>Ene 02</v>
      </c>
      <c r="D74" s="824" t="s">
        <v>253</v>
      </c>
      <c r="E74" s="861" t="str">
        <f>VLOOKUP(D74,Poeng!$B$10:$R$252,Poeng!E$1,FALSE)</f>
        <v xml:space="preserve">Sub-metering of end-use categories </v>
      </c>
      <c r="F74" s="122">
        <f>VLOOKUP(D74,Poeng!$B$10:$AB$252,Poeng!AB$1,FALSE)</f>
        <v>1</v>
      </c>
      <c r="G74" s="43"/>
      <c r="H74" s="123">
        <f>VLOOKUP(D74,Poeng!$B$10:$AE$252,Poeng!AE$1,FALSE)</f>
        <v>0</v>
      </c>
      <c r="I74" s="124" t="str">
        <f>VLOOKUP(D74,Poeng!$B$10:$BE$252,Poeng!BE$1,FALSE)</f>
        <v>N/A</v>
      </c>
      <c r="J74" s="80"/>
      <c r="K74" s="281"/>
      <c r="L74" s="796"/>
      <c r="M74" s="816"/>
      <c r="N74" s="83"/>
      <c r="O74" s="123">
        <f>VLOOKUP(D74,Poeng!$B$10:$BC$252,Poeng!AF$1,FALSE)</f>
        <v>0</v>
      </c>
      <c r="P74" s="123" t="str">
        <f>VLOOKUP(D74,Poeng!$B$10:$BH$252,Poeng!BH$1,FALSE)</f>
        <v>N/A</v>
      </c>
      <c r="Q74" s="744"/>
      <c r="R74" s="745"/>
      <c r="S74" s="738"/>
      <c r="T74" s="319"/>
      <c r="U74" s="83"/>
      <c r="V74" s="123">
        <f>VLOOKUP(D74,Poeng!$B$10:$BC$252,Poeng!AG$1,FALSE)</f>
        <v>0</v>
      </c>
      <c r="W74" s="123" t="str">
        <f>VLOOKUP(D74,Poeng!$B$10:$BK$252,Poeng!BK$1,FALSE)</f>
        <v>N/A</v>
      </c>
      <c r="X74" s="81"/>
      <c r="Y74" s="80"/>
      <c r="Z74" s="738"/>
      <c r="AA74" s="133"/>
      <c r="AB74" s="684"/>
      <c r="AC74" s="107">
        <f t="shared" si="0"/>
        <v>1</v>
      </c>
      <c r="AD74" s="3" t="e">
        <f>VLOOKUP(K74,'Assessment Details'!$O$45:$P$48,2,FALSE)</f>
        <v>#N/A</v>
      </c>
      <c r="AE74" s="3" t="e">
        <f>VLOOKUP(R74,'Assessment Details'!$O$45:$P$48,2,FALSE)</f>
        <v>#N/A</v>
      </c>
      <c r="AF74" s="3" t="e">
        <f>VLOOKUP(Y74,'Assessment Details'!$O$45:$P$48,2,FALSE)</f>
        <v>#N/A</v>
      </c>
      <c r="AI74" s="70"/>
      <c r="AJ74" s="671"/>
      <c r="AK74" s="653"/>
      <c r="AL74" s="653"/>
      <c r="AM74" s="653"/>
      <c r="AN74" s="653"/>
      <c r="AO74" s="653"/>
      <c r="AP74" s="70"/>
      <c r="AS74" s="23"/>
      <c r="AT74" s="23"/>
      <c r="AU74" s="23"/>
      <c r="AV74" s="23"/>
      <c r="AW74" s="23"/>
      <c r="AX74" s="23"/>
      <c r="AZ74" s="640"/>
    </row>
    <row r="75" spans="1:52" x14ac:dyDescent="0.25">
      <c r="A75" s="1076">
        <v>66</v>
      </c>
      <c r="B75" s="1077" t="s">
        <v>66</v>
      </c>
      <c r="C75" s="1082" t="str">
        <f t="shared" si="7"/>
        <v>Ene 02</v>
      </c>
      <c r="D75" s="824" t="s">
        <v>355</v>
      </c>
      <c r="E75" s="861" t="str">
        <f>VLOOKUP(D75,Poeng!$B$10:$R$252,Poeng!E$1,FALSE)</f>
        <v xml:space="preserve">Sub-metering of high energy load and tenancy areas </v>
      </c>
      <c r="F75" s="122">
        <f>VLOOKUP(D75,Poeng!$B$10:$AB$252,Poeng!AB$1,FALSE)</f>
        <v>1</v>
      </c>
      <c r="G75" s="43"/>
      <c r="H75" s="123">
        <f>VLOOKUP(D75,Poeng!$B$10:$AE$252,Poeng!AE$1,FALSE)</f>
        <v>0</v>
      </c>
      <c r="I75" s="124" t="str">
        <f>VLOOKUP(D75,Poeng!$B$10:$BE$252,Poeng!BE$1,FALSE)</f>
        <v>N/A</v>
      </c>
      <c r="J75" s="80"/>
      <c r="K75" s="281"/>
      <c r="L75" s="796"/>
      <c r="M75" s="816"/>
      <c r="N75" s="83"/>
      <c r="O75" s="123">
        <f>VLOOKUP(D75,Poeng!$B$10:$BC$252,Poeng!AF$1,FALSE)</f>
        <v>0</v>
      </c>
      <c r="P75" s="123" t="str">
        <f>VLOOKUP(D75,Poeng!$B$10:$BH$252,Poeng!BH$1,FALSE)</f>
        <v>N/A</v>
      </c>
      <c r="Q75" s="744"/>
      <c r="R75" s="745"/>
      <c r="S75" s="738"/>
      <c r="T75" s="319"/>
      <c r="U75" s="83"/>
      <c r="V75" s="123">
        <f>VLOOKUP(D75,Poeng!$B$10:$BC$252,Poeng!AG$1,FALSE)</f>
        <v>0</v>
      </c>
      <c r="W75" s="123" t="str">
        <f>VLOOKUP(D75,Poeng!$B$10:$BK$252,Poeng!BK$1,FALSE)</f>
        <v>N/A</v>
      </c>
      <c r="X75" s="81"/>
      <c r="Y75" s="80"/>
      <c r="Z75" s="738"/>
      <c r="AA75" s="133"/>
      <c r="AB75" s="684"/>
      <c r="AC75" s="107">
        <f t="shared" si="0"/>
        <v>1</v>
      </c>
      <c r="AD75" s="3" t="e">
        <f>VLOOKUP(K75,'Assessment Details'!$O$45:$P$48,2,FALSE)</f>
        <v>#N/A</v>
      </c>
      <c r="AE75" s="3" t="e">
        <f>VLOOKUP(R75,'Assessment Details'!$O$45:$P$48,2,FALSE)</f>
        <v>#N/A</v>
      </c>
      <c r="AF75" s="3" t="e">
        <f>VLOOKUP(Y75,'Assessment Details'!$O$45:$P$48,2,FALSE)</f>
        <v>#N/A</v>
      </c>
      <c r="AI75" s="70"/>
      <c r="AJ75" s="671"/>
      <c r="AK75" s="653"/>
      <c r="AL75" s="653"/>
      <c r="AM75" s="653"/>
      <c r="AN75" s="653"/>
      <c r="AO75" s="653"/>
      <c r="AP75" s="70"/>
      <c r="AS75" s="23"/>
      <c r="AT75" s="23"/>
      <c r="AU75" s="23"/>
      <c r="AV75" s="23"/>
      <c r="AW75" s="23"/>
      <c r="AX75" s="23"/>
      <c r="AZ75" s="640"/>
    </row>
    <row r="76" spans="1:52" x14ac:dyDescent="0.25">
      <c r="A76" s="1076">
        <v>67</v>
      </c>
      <c r="B76" s="1077" t="s">
        <v>66</v>
      </c>
      <c r="C76" s="1082" t="str">
        <f t="shared" si="7"/>
        <v>Ene 02</v>
      </c>
      <c r="D76" s="824" t="s">
        <v>750</v>
      </c>
      <c r="E76" s="861" t="str">
        <f>VLOOKUP(D76,Poeng!$B$10:$R$252,Poeng!E$1,FALSE)</f>
        <v xml:space="preserve">Sub-metering of energy consumption in residential buildings </v>
      </c>
      <c r="F76" s="122">
        <f>VLOOKUP(D76,Poeng!$B$10:$AB$252,Poeng!AB$1,FALSE)</f>
        <v>0</v>
      </c>
      <c r="G76" s="43"/>
      <c r="H76" s="123">
        <f>VLOOKUP(D76,Poeng!$B$10:$AE$252,Poeng!AE$1,FALSE)</f>
        <v>0</v>
      </c>
      <c r="I76" s="124" t="str">
        <f>VLOOKUP(D76,Poeng!$B$10:$BE$252,Poeng!BE$1,FALSE)</f>
        <v>N/A</v>
      </c>
      <c r="J76" s="80"/>
      <c r="K76" s="281"/>
      <c r="L76" s="796"/>
      <c r="M76" s="816"/>
      <c r="N76" s="83"/>
      <c r="O76" s="123">
        <f>VLOOKUP(D76,Poeng!$B$10:$BC$252,Poeng!AF$1,FALSE)</f>
        <v>0</v>
      </c>
      <c r="P76" s="123" t="str">
        <f>VLOOKUP(D76,Poeng!$B$10:$BH$252,Poeng!BH$1,FALSE)</f>
        <v>N/A</v>
      </c>
      <c r="Q76" s="744"/>
      <c r="R76" s="745"/>
      <c r="S76" s="738"/>
      <c r="T76" s="319"/>
      <c r="U76" s="83"/>
      <c r="V76" s="123">
        <f>VLOOKUP(D76,Poeng!$B$10:$BC$252,Poeng!AG$1,FALSE)</f>
        <v>0</v>
      </c>
      <c r="W76" s="123" t="str">
        <f>VLOOKUP(D76,Poeng!$B$10:$BK$252,Poeng!BK$1,FALSE)</f>
        <v>N/A</v>
      </c>
      <c r="X76" s="81"/>
      <c r="Y76" s="80"/>
      <c r="Z76" s="738"/>
      <c r="AA76" s="133"/>
      <c r="AB76" s="684"/>
      <c r="AC76" s="107">
        <f t="shared" si="0"/>
        <v>2</v>
      </c>
      <c r="AD76" s="3" t="e">
        <f>VLOOKUP(K76,'Assessment Details'!$O$45:$P$48,2,FALSE)</f>
        <v>#N/A</v>
      </c>
      <c r="AE76" s="3" t="e">
        <f>VLOOKUP(R76,'Assessment Details'!$O$45:$P$48,2,FALSE)</f>
        <v>#N/A</v>
      </c>
      <c r="AF76" s="3" t="e">
        <f>VLOOKUP(Y76,'Assessment Details'!$O$45:$P$48,2,FALSE)</f>
        <v>#N/A</v>
      </c>
      <c r="AI76" s="70"/>
      <c r="AJ76" s="671"/>
      <c r="AK76" s="653"/>
      <c r="AL76" s="653"/>
      <c r="AM76" s="653"/>
      <c r="AN76" s="653"/>
      <c r="AO76" s="653"/>
      <c r="AP76" s="70"/>
      <c r="AS76" s="23"/>
      <c r="AT76" s="23"/>
      <c r="AU76" s="23"/>
      <c r="AV76" s="23"/>
      <c r="AW76" s="23"/>
      <c r="AX76" s="23"/>
      <c r="AZ76" s="640"/>
    </row>
    <row r="77" spans="1:52" x14ac:dyDescent="0.25">
      <c r="A77" s="1076">
        <v>68</v>
      </c>
      <c r="B77" s="1077" t="s">
        <v>66</v>
      </c>
      <c r="C77" s="924" t="s">
        <v>137</v>
      </c>
      <c r="D77" s="824" t="s">
        <v>137</v>
      </c>
      <c r="E77" s="860" t="str">
        <f>VLOOKUP(D77,Poeng!$B$10:$R$252,Poeng!E$1,FALSE)</f>
        <v>Ene 03 External lighting</v>
      </c>
      <c r="F77" s="865">
        <f>VLOOKUP(D77,Poeng!$B$10:$AB$252,Poeng!AB$1,FALSE)</f>
        <v>1</v>
      </c>
      <c r="G77" s="1001"/>
      <c r="H77" s="866" t="str">
        <f>VLOOKUP(D77,Poeng!$B$10:$AI$252,Poeng!AI$1,FALSE)&amp;" c. "&amp;ROUND(VLOOKUP(D77,Poeng!$B$10:$AE$252,Poeng!AE$1,FALSE)*100,1)&amp;" %"</f>
        <v>0 c. 0 %</v>
      </c>
      <c r="I77" s="924" t="str">
        <f>VLOOKUP(D77,Poeng!$B$10:$BE$252,Poeng!BE$1,FALSE)</f>
        <v>N/A</v>
      </c>
      <c r="J77" s="80"/>
      <c r="K77" s="281"/>
      <c r="L77" s="796"/>
      <c r="M77" s="816"/>
      <c r="N77" s="1001"/>
      <c r="O77" s="877" t="str">
        <f>VLOOKUP(D77,Poeng!$B$10:$BC$252,Poeng!AJ$1,FALSE)&amp;" c. "&amp;ROUND(VLOOKUP(D77,Poeng!$B$10:$BC$252,Poeng!AF$1,FALSE)*100,1)&amp;" %"</f>
        <v>0 c. 0 %</v>
      </c>
      <c r="P77" s="123" t="str">
        <f>VLOOKUP(D77,Poeng!$B$10:$BH$252,Poeng!BH$1,FALSE)</f>
        <v>N/A</v>
      </c>
      <c r="Q77" s="744"/>
      <c r="R77" s="745"/>
      <c r="S77" s="738"/>
      <c r="T77" s="319"/>
      <c r="U77" s="1001"/>
      <c r="V77" s="877" t="str">
        <f>VLOOKUP(D77,Poeng!$B$10:$BC$252,Poeng!AK$1,FALSE)&amp;" c. "&amp;ROUND(VLOOKUP(D77,Poeng!$B$10:$BC$252,Poeng!AG$1,FALSE)*100,1)&amp;" %"</f>
        <v>0 c. 0 %</v>
      </c>
      <c r="W77" s="123" t="str">
        <f>VLOOKUP(D77,Poeng!$B$10:$BK$252,Poeng!BK$1,FALSE)</f>
        <v>N/A</v>
      </c>
      <c r="X77" s="81"/>
      <c r="Y77" s="80"/>
      <c r="Z77" s="738"/>
      <c r="AA77" s="133"/>
      <c r="AB77" s="640" t="s">
        <v>13</v>
      </c>
      <c r="AC77" s="107">
        <f t="shared" ref="AC77:AC142" si="12">IF(F77="",1,IF(F77=0,2,1))</f>
        <v>1</v>
      </c>
      <c r="AD77" s="3" t="e">
        <f>VLOOKUP(K77,'Assessment Details'!$O$45:$P$48,2,FALSE)</f>
        <v>#N/A</v>
      </c>
      <c r="AE77" s="3" t="e">
        <f>VLOOKUP(R77,'Assessment Details'!$O$45:$P$48,2,FALSE)</f>
        <v>#N/A</v>
      </c>
      <c r="AF77" s="3" t="e">
        <f>VLOOKUP(Y77,'Assessment Details'!$O$45:$P$48,2,FALSE)</f>
        <v>#N/A</v>
      </c>
      <c r="AI77" s="70" t="str">
        <f>ais_ja</f>
        <v>Ja</v>
      </c>
      <c r="AJ77" s="671" t="s">
        <v>129</v>
      </c>
      <c r="AK77" s="648" t="s">
        <v>406</v>
      </c>
      <c r="AL77" s="648" t="s">
        <v>410</v>
      </c>
      <c r="AM77" s="648" t="s">
        <v>408</v>
      </c>
      <c r="AN77" s="70"/>
      <c r="AO77" s="70"/>
      <c r="AP77" s="70"/>
      <c r="AR77" s="1" t="s">
        <v>13</v>
      </c>
      <c r="AS77" s="23" t="str">
        <f t="shared" si="3"/>
        <v>N/A</v>
      </c>
      <c r="AT77" s="23" t="str">
        <f t="shared" si="1"/>
        <v>N/A</v>
      </c>
      <c r="AU77" s="23" t="str">
        <f t="shared" si="2"/>
        <v>N/A</v>
      </c>
      <c r="AV77" s="23"/>
      <c r="AW77" s="23"/>
      <c r="AX77" s="23"/>
      <c r="AZ77" s="640"/>
    </row>
    <row r="78" spans="1:52" x14ac:dyDescent="0.25">
      <c r="A78" s="1076">
        <v>69</v>
      </c>
      <c r="B78" s="1077" t="s">
        <v>66</v>
      </c>
      <c r="C78" s="1082" t="str">
        <f t="shared" si="7"/>
        <v>Ene 03</v>
      </c>
      <c r="D78" s="824" t="s">
        <v>751</v>
      </c>
      <c r="E78" s="861" t="str">
        <f>VLOOKUP(D78,Poeng!$B$10:$R$252,Poeng!E$1,FALSE)</f>
        <v>No external lighting within the construction zone</v>
      </c>
      <c r="F78" s="122">
        <f>VLOOKUP(D78,Poeng!$B$10:$AB$252,Poeng!AB$1,FALSE)</f>
        <v>1</v>
      </c>
      <c r="G78" s="43"/>
      <c r="H78" s="123">
        <f>VLOOKUP(D78,Poeng!$B$10:$AE$252,Poeng!AE$1,FALSE)</f>
        <v>0</v>
      </c>
      <c r="I78" s="124" t="str">
        <f>VLOOKUP(D78,Poeng!$B$10:$BE$252,Poeng!BE$1,FALSE)</f>
        <v>N/A</v>
      </c>
      <c r="J78" s="80"/>
      <c r="K78" s="281"/>
      <c r="L78" s="796"/>
      <c r="M78" s="816"/>
      <c r="N78" s="83"/>
      <c r="O78" s="123">
        <f>VLOOKUP(D78,Poeng!$B$10:$BC$252,Poeng!AF$1,FALSE)</f>
        <v>0</v>
      </c>
      <c r="P78" s="123" t="str">
        <f>VLOOKUP(D78,Poeng!$B$10:$BH$252,Poeng!BH$1,FALSE)</f>
        <v>N/A</v>
      </c>
      <c r="Q78" s="744"/>
      <c r="R78" s="745"/>
      <c r="S78" s="738"/>
      <c r="T78" s="319"/>
      <c r="U78" s="83"/>
      <c r="V78" s="123">
        <f>VLOOKUP(D78,Poeng!$B$10:$BC$252,Poeng!AG$1,FALSE)</f>
        <v>0</v>
      </c>
      <c r="W78" s="123" t="str">
        <f>VLOOKUP(D78,Poeng!$B$10:$BK$252,Poeng!BK$1,FALSE)</f>
        <v>N/A</v>
      </c>
      <c r="X78" s="81"/>
      <c r="Y78" s="80"/>
      <c r="Z78" s="738"/>
      <c r="AA78" s="133"/>
      <c r="AB78" s="640"/>
      <c r="AC78" s="107">
        <f t="shared" si="12"/>
        <v>1</v>
      </c>
      <c r="AD78" s="3" t="e">
        <f>VLOOKUP(K78,'Assessment Details'!$O$45:$P$48,2,FALSE)</f>
        <v>#N/A</v>
      </c>
      <c r="AE78" s="3" t="e">
        <f>VLOOKUP(R78,'Assessment Details'!$O$45:$P$48,2,FALSE)</f>
        <v>#N/A</v>
      </c>
      <c r="AF78" s="3" t="e">
        <f>VLOOKUP(Y78,'Assessment Details'!$O$45:$P$48,2,FALSE)</f>
        <v>#N/A</v>
      </c>
      <c r="AI78" s="70"/>
      <c r="AJ78" s="671"/>
      <c r="AK78" s="648"/>
      <c r="AL78" s="648"/>
      <c r="AM78" s="648"/>
      <c r="AN78" s="70"/>
      <c r="AO78" s="70"/>
      <c r="AP78" s="70"/>
      <c r="AS78" s="23"/>
      <c r="AT78" s="23"/>
      <c r="AU78" s="23"/>
      <c r="AV78" s="23"/>
      <c r="AW78" s="23"/>
      <c r="AX78" s="23"/>
      <c r="AZ78" s="640"/>
    </row>
    <row r="79" spans="1:52" x14ac:dyDescent="0.25">
      <c r="A79" s="1076">
        <v>70</v>
      </c>
      <c r="B79" s="1077" t="s">
        <v>66</v>
      </c>
      <c r="C79" s="1082" t="str">
        <f t="shared" si="7"/>
        <v>Ene 03</v>
      </c>
      <c r="D79" s="824" t="s">
        <v>752</v>
      </c>
      <c r="E79" s="861" t="str">
        <f>VLOOKUP(D79,Poeng!$B$10:$R$252,Poeng!E$1,FALSE)</f>
        <v>External lighting within the construction zone</v>
      </c>
      <c r="F79" s="122">
        <f>VLOOKUP(D79,Poeng!$B$10:$AB$252,Poeng!AB$1,FALSE)</f>
        <v>0</v>
      </c>
      <c r="G79" s="43"/>
      <c r="H79" s="123">
        <f>VLOOKUP(D79,Poeng!$B$10:$AE$252,Poeng!AE$1,FALSE)</f>
        <v>0</v>
      </c>
      <c r="I79" s="124" t="str">
        <f>VLOOKUP(D79,Poeng!$B$10:$BE$252,Poeng!BE$1,FALSE)</f>
        <v>N/A</v>
      </c>
      <c r="J79" s="80"/>
      <c r="K79" s="281"/>
      <c r="L79" s="796"/>
      <c r="M79" s="816"/>
      <c r="N79" s="83"/>
      <c r="O79" s="123">
        <f>VLOOKUP(D79,Poeng!$B$10:$BC$252,Poeng!AF$1,FALSE)</f>
        <v>0</v>
      </c>
      <c r="P79" s="123" t="str">
        <f>VLOOKUP(D79,Poeng!$B$10:$BH$252,Poeng!BH$1,FALSE)</f>
        <v>N/A</v>
      </c>
      <c r="Q79" s="744"/>
      <c r="R79" s="745"/>
      <c r="S79" s="738"/>
      <c r="T79" s="319"/>
      <c r="U79" s="83"/>
      <c r="V79" s="123">
        <f>VLOOKUP(D79,Poeng!$B$10:$BC$252,Poeng!AG$1,FALSE)</f>
        <v>0</v>
      </c>
      <c r="W79" s="123" t="str">
        <f>VLOOKUP(D79,Poeng!$B$10:$BK$252,Poeng!BK$1,FALSE)</f>
        <v>N/A</v>
      </c>
      <c r="X79" s="81"/>
      <c r="Y79" s="80"/>
      <c r="Z79" s="738"/>
      <c r="AA79" s="133"/>
      <c r="AB79" s="640"/>
      <c r="AC79" s="107">
        <f t="shared" si="12"/>
        <v>2</v>
      </c>
      <c r="AD79" s="3" t="e">
        <f>VLOOKUP(K79,'Assessment Details'!$O$45:$P$48,2,FALSE)</f>
        <v>#N/A</v>
      </c>
      <c r="AE79" s="3" t="e">
        <f>VLOOKUP(R79,'Assessment Details'!$O$45:$P$48,2,FALSE)</f>
        <v>#N/A</v>
      </c>
      <c r="AF79" s="3" t="e">
        <f>VLOOKUP(Y79,'Assessment Details'!$O$45:$P$48,2,FALSE)</f>
        <v>#N/A</v>
      </c>
      <c r="AI79" s="70"/>
      <c r="AJ79" s="671"/>
      <c r="AK79" s="648"/>
      <c r="AL79" s="648"/>
      <c r="AM79" s="648"/>
      <c r="AN79" s="70"/>
      <c r="AO79" s="70"/>
      <c r="AP79" s="70"/>
      <c r="AS79" s="23"/>
      <c r="AT79" s="23"/>
      <c r="AU79" s="23"/>
      <c r="AV79" s="23"/>
      <c r="AW79" s="23"/>
      <c r="AX79" s="23"/>
      <c r="AZ79" s="640"/>
    </row>
    <row r="80" spans="1:52" x14ac:dyDescent="0.25">
      <c r="A80" s="1076">
        <v>71</v>
      </c>
      <c r="B80" s="1077" t="s">
        <v>66</v>
      </c>
      <c r="C80" s="924" t="s">
        <v>139</v>
      </c>
      <c r="D80" s="824" t="s">
        <v>139</v>
      </c>
      <c r="E80" s="860" t="str">
        <f>VLOOKUP(D80,Poeng!$B$10:$R$252,Poeng!E$1,FALSE)</f>
        <v>Ene 05 Energy efficient cold storage</v>
      </c>
      <c r="F80" s="865">
        <f>VLOOKUP(D80,Poeng!$B$10:$AB$252,Poeng!AB$1,FALSE)</f>
        <v>2</v>
      </c>
      <c r="G80" s="1001"/>
      <c r="H80" s="866" t="str">
        <f>VLOOKUP(D80,Poeng!$B$10:$AI$252,Poeng!AI$1,FALSE)&amp;" c. "&amp;ROUND(VLOOKUP(D80,Poeng!$B$10:$AE$252,Poeng!AE$1,FALSE)*100,1)&amp;" %"</f>
        <v>0 c. 0 %</v>
      </c>
      <c r="I80" s="924" t="str">
        <f>VLOOKUP(D80,Poeng!$B$10:$BE$252,Poeng!BE$1,FALSE)</f>
        <v>N/A</v>
      </c>
      <c r="J80" s="80"/>
      <c r="K80" s="281"/>
      <c r="L80" s="796"/>
      <c r="M80" s="816"/>
      <c r="N80" s="1001"/>
      <c r="O80" s="877" t="str">
        <f>VLOOKUP(D80,Poeng!$B$10:$BC$252,Poeng!AJ$1,FALSE)&amp;" c. "&amp;ROUND(VLOOKUP(D80,Poeng!$B$10:$BC$252,Poeng!AF$1,FALSE)*100,1)&amp;" %"</f>
        <v>0 c. 0 %</v>
      </c>
      <c r="P80" s="123" t="str">
        <f>VLOOKUP(D80,Poeng!$B$10:$BH$252,Poeng!BH$1,FALSE)</f>
        <v>N/A</v>
      </c>
      <c r="Q80" s="744"/>
      <c r="R80" s="745"/>
      <c r="S80" s="738"/>
      <c r="T80" s="319"/>
      <c r="U80" s="1001"/>
      <c r="V80" s="877" t="str">
        <f>VLOOKUP(D80,Poeng!$B$10:$BC$252,Poeng!AK$1,FALSE)&amp;" c. "&amp;ROUND(VLOOKUP(D80,Poeng!$B$10:$BC$252,Poeng!AG$1,FALSE)*100,1)&amp;" %"</f>
        <v>0 c. 0 %</v>
      </c>
      <c r="W80" s="123" t="str">
        <f>VLOOKUP(D80,Poeng!$B$10:$BK$252,Poeng!BK$1,FALSE)</f>
        <v>N/A</v>
      </c>
      <c r="X80" s="81"/>
      <c r="Y80" s="80"/>
      <c r="Z80" s="738"/>
      <c r="AA80" s="133"/>
      <c r="AB80" s="640" t="s">
        <v>13</v>
      </c>
      <c r="AC80" s="107">
        <f t="shared" si="12"/>
        <v>1</v>
      </c>
      <c r="AD80" s="3" t="e">
        <f>VLOOKUP(K80,'Assessment Details'!$O$45:$P$48,2,FALSE)</f>
        <v>#N/A</v>
      </c>
      <c r="AE80" s="3" t="e">
        <f>VLOOKUP(R80,'Assessment Details'!$O$45:$P$48,2,FALSE)</f>
        <v>#N/A</v>
      </c>
      <c r="AF80" s="3" t="e">
        <f>VLOOKUP(Y80,'Assessment Details'!$O$45:$P$48,2,FALSE)</f>
        <v>#N/A</v>
      </c>
      <c r="AI80" s="70" t="str">
        <f>ais_ja</f>
        <v>Ja</v>
      </c>
      <c r="AJ80" s="671" t="s">
        <v>130</v>
      </c>
      <c r="AK80" s="648" t="s">
        <v>406</v>
      </c>
      <c r="AL80" s="648" t="s">
        <v>410</v>
      </c>
      <c r="AM80" s="648" t="s">
        <v>408</v>
      </c>
      <c r="AN80" s="70"/>
      <c r="AO80" s="70"/>
      <c r="AP80" s="70"/>
      <c r="AR80" s="1" t="s">
        <v>13</v>
      </c>
      <c r="AS80" s="23" t="str">
        <f t="shared" si="3"/>
        <v>N/A</v>
      </c>
      <c r="AT80" s="23" t="str">
        <f t="shared" si="1"/>
        <v>N/A</v>
      </c>
      <c r="AU80" s="23" t="str">
        <f t="shared" si="2"/>
        <v>N/A</v>
      </c>
      <c r="AV80" s="23"/>
      <c r="AW80" s="23"/>
      <c r="AX80" s="23"/>
      <c r="AZ80" s="640"/>
    </row>
    <row r="81" spans="1:52" x14ac:dyDescent="0.25">
      <c r="A81" s="1076">
        <v>72</v>
      </c>
      <c r="B81" s="1077" t="s">
        <v>66</v>
      </c>
      <c r="C81" s="1082" t="str">
        <f t="shared" si="7"/>
        <v>Ene 05</v>
      </c>
      <c r="D81" s="824" t="s">
        <v>753</v>
      </c>
      <c r="E81" s="861" t="str">
        <f>VLOOKUP(D81,Poeng!$B$10:$R$252,Poeng!E$1,FALSE)</f>
        <v xml:space="preserve">Design of energy efficient refrigeration- and freezing room </v>
      </c>
      <c r="F81" s="122">
        <f>VLOOKUP(D81,Poeng!$B$10:$AB$252,Poeng!AB$1,FALSE)</f>
        <v>1</v>
      </c>
      <c r="G81" s="43"/>
      <c r="H81" s="123">
        <f>VLOOKUP(D81,Poeng!$B$10:$AE$252,Poeng!AE$1,FALSE)</f>
        <v>0</v>
      </c>
      <c r="I81" s="124" t="str">
        <f>VLOOKUP(D81,Poeng!$B$10:$BE$252,Poeng!BE$1,FALSE)</f>
        <v>N/A</v>
      </c>
      <c r="J81" s="80"/>
      <c r="K81" s="281"/>
      <c r="L81" s="796"/>
      <c r="M81" s="816"/>
      <c r="N81" s="83"/>
      <c r="O81" s="123">
        <f>VLOOKUP(D81,Poeng!$B$10:$BC$252,Poeng!AF$1,FALSE)</f>
        <v>0</v>
      </c>
      <c r="P81" s="123" t="str">
        <f>VLOOKUP(D81,Poeng!$B$10:$BH$252,Poeng!BH$1,FALSE)</f>
        <v>N/A</v>
      </c>
      <c r="Q81" s="744"/>
      <c r="R81" s="745"/>
      <c r="S81" s="738"/>
      <c r="T81" s="319"/>
      <c r="U81" s="83"/>
      <c r="V81" s="123">
        <f>VLOOKUP(D81,Poeng!$B$10:$BC$252,Poeng!AG$1,FALSE)</f>
        <v>0</v>
      </c>
      <c r="W81" s="123" t="str">
        <f>VLOOKUP(D81,Poeng!$B$10:$BK$252,Poeng!BK$1,FALSE)</f>
        <v>N/A</v>
      </c>
      <c r="X81" s="81"/>
      <c r="Y81" s="80"/>
      <c r="Z81" s="738"/>
      <c r="AA81" s="133"/>
      <c r="AB81" s="640"/>
      <c r="AC81" s="107">
        <f t="shared" si="12"/>
        <v>1</v>
      </c>
      <c r="AD81" s="3" t="e">
        <f>VLOOKUP(K81,'Assessment Details'!$O$45:$P$48,2,FALSE)</f>
        <v>#N/A</v>
      </c>
      <c r="AE81" s="3" t="e">
        <f>VLOOKUP(R81,'Assessment Details'!$O$45:$P$48,2,FALSE)</f>
        <v>#N/A</v>
      </c>
      <c r="AF81" s="3" t="e">
        <f>VLOOKUP(Y81,'Assessment Details'!$O$45:$P$48,2,FALSE)</f>
        <v>#N/A</v>
      </c>
      <c r="AI81" s="70"/>
      <c r="AJ81" s="671"/>
      <c r="AK81" s="648"/>
      <c r="AL81" s="648"/>
      <c r="AM81" s="648"/>
      <c r="AN81" s="70"/>
      <c r="AO81" s="70"/>
      <c r="AP81" s="70"/>
      <c r="AS81" s="23"/>
      <c r="AT81" s="23"/>
      <c r="AU81" s="23"/>
      <c r="AV81" s="23"/>
      <c r="AW81" s="23"/>
      <c r="AX81" s="23"/>
      <c r="AZ81" s="640"/>
    </row>
    <row r="82" spans="1:52" x14ac:dyDescent="0.25">
      <c r="A82" s="1076">
        <v>73</v>
      </c>
      <c r="B82" s="1077" t="s">
        <v>66</v>
      </c>
      <c r="C82" s="1082" t="str">
        <f t="shared" si="7"/>
        <v>Ene 05</v>
      </c>
      <c r="D82" s="824" t="s">
        <v>754</v>
      </c>
      <c r="E82" s="861" t="str">
        <f>VLOOKUP(D82,Poeng!$B$10:$R$252,Poeng!E$1,FALSE)</f>
        <v xml:space="preserve">Indirect greenhouse gas emissions </v>
      </c>
      <c r="F82" s="122">
        <f>VLOOKUP(D82,Poeng!$B$10:$AB$252,Poeng!AB$1,FALSE)</f>
        <v>1</v>
      </c>
      <c r="G82" s="43"/>
      <c r="H82" s="123">
        <f>VLOOKUP(D82,Poeng!$B$10:$AE$252,Poeng!AE$1,FALSE)</f>
        <v>0</v>
      </c>
      <c r="I82" s="124" t="str">
        <f>VLOOKUP(D82,Poeng!$B$10:$BE$252,Poeng!BE$1,FALSE)</f>
        <v>N/A</v>
      </c>
      <c r="J82" s="80"/>
      <c r="K82" s="281"/>
      <c r="L82" s="796"/>
      <c r="M82" s="816"/>
      <c r="N82" s="83"/>
      <c r="O82" s="123">
        <f>VLOOKUP(D82,Poeng!$B$10:$BC$252,Poeng!AF$1,FALSE)</f>
        <v>0</v>
      </c>
      <c r="P82" s="123" t="str">
        <f>VLOOKUP(D82,Poeng!$B$10:$BH$252,Poeng!BH$1,FALSE)</f>
        <v>N/A</v>
      </c>
      <c r="Q82" s="744"/>
      <c r="R82" s="745"/>
      <c r="S82" s="738"/>
      <c r="T82" s="319"/>
      <c r="U82" s="83"/>
      <c r="V82" s="123">
        <f>VLOOKUP(D82,Poeng!$B$10:$BC$252,Poeng!AG$1,FALSE)</f>
        <v>0</v>
      </c>
      <c r="W82" s="123" t="str">
        <f>VLOOKUP(D82,Poeng!$B$10:$BK$252,Poeng!BK$1,FALSE)</f>
        <v>N/A</v>
      </c>
      <c r="X82" s="81"/>
      <c r="Y82" s="80"/>
      <c r="Z82" s="738"/>
      <c r="AA82" s="133"/>
      <c r="AB82" s="640"/>
      <c r="AC82" s="107">
        <f t="shared" si="12"/>
        <v>1</v>
      </c>
      <c r="AD82" s="3" t="e">
        <f>VLOOKUP(K82,'Assessment Details'!$O$45:$P$48,2,FALSE)</f>
        <v>#N/A</v>
      </c>
      <c r="AE82" s="3" t="e">
        <f>VLOOKUP(R82,'Assessment Details'!$O$45:$P$48,2,FALSE)</f>
        <v>#N/A</v>
      </c>
      <c r="AF82" s="3" t="e">
        <f>VLOOKUP(Y82,'Assessment Details'!$O$45:$P$48,2,FALSE)</f>
        <v>#N/A</v>
      </c>
      <c r="AI82" s="70"/>
      <c r="AJ82" s="671"/>
      <c r="AK82" s="648"/>
      <c r="AL82" s="648"/>
      <c r="AM82" s="648"/>
      <c r="AN82" s="70"/>
      <c r="AO82" s="70"/>
      <c r="AP82" s="70"/>
      <c r="AS82" s="23"/>
      <c r="AT82" s="23"/>
      <c r="AU82" s="23"/>
      <c r="AV82" s="23"/>
      <c r="AW82" s="23"/>
      <c r="AX82" s="23"/>
      <c r="AZ82" s="640"/>
    </row>
    <row r="83" spans="1:52" x14ac:dyDescent="0.25">
      <c r="A83" s="1076">
        <v>74</v>
      </c>
      <c r="B83" s="1077" t="s">
        <v>66</v>
      </c>
      <c r="C83" s="924" t="s">
        <v>140</v>
      </c>
      <c r="D83" s="824" t="s">
        <v>140</v>
      </c>
      <c r="E83" s="860" t="str">
        <f>VLOOKUP(D83,Poeng!$B$10:$R$252,Poeng!E$1,FALSE)</f>
        <v>Ene 06 Energy efficient transportation systems</v>
      </c>
      <c r="F83" s="865">
        <f>VLOOKUP(D83,Poeng!$B$10:$AB$252,Poeng!AB$1,FALSE)</f>
        <v>3</v>
      </c>
      <c r="G83" s="1001"/>
      <c r="H83" s="866" t="str">
        <f>VLOOKUP(D83,Poeng!$B$10:$AI$252,Poeng!AI$1,FALSE)&amp;" c. "&amp;ROUND(VLOOKUP(D83,Poeng!$B$10:$AE$252,Poeng!AE$1,FALSE)*100,1)&amp;" %"</f>
        <v>0 c. 0 %</v>
      </c>
      <c r="I83" s="924" t="str">
        <f>VLOOKUP(D83,Poeng!$B$10:$BE$252,Poeng!BE$1,FALSE)</f>
        <v>N/A</v>
      </c>
      <c r="J83" s="80"/>
      <c r="K83" s="281"/>
      <c r="L83" s="796"/>
      <c r="M83" s="816"/>
      <c r="N83" s="1001"/>
      <c r="O83" s="877" t="str">
        <f>VLOOKUP(D83,Poeng!$B$10:$BC$252,Poeng!AJ$1,FALSE)&amp;" c. "&amp;ROUND(VLOOKUP(D83,Poeng!$B$10:$BC$252,Poeng!AF$1,FALSE)*100,1)&amp;" %"</f>
        <v>0 c. 0 %</v>
      </c>
      <c r="P83" s="123" t="str">
        <f>VLOOKUP(D83,Poeng!$B$10:$BH$252,Poeng!BH$1,FALSE)</f>
        <v>N/A</v>
      </c>
      <c r="Q83" s="744"/>
      <c r="R83" s="745"/>
      <c r="S83" s="738"/>
      <c r="T83" s="319"/>
      <c r="U83" s="1001"/>
      <c r="V83" s="877" t="str">
        <f>VLOOKUP(D83,Poeng!$B$10:$BC$252,Poeng!AK$1,FALSE)&amp;" c. "&amp;ROUND(VLOOKUP(D83,Poeng!$B$10:$BC$252,Poeng!AG$1,FALSE)*100,1)&amp;" %"</f>
        <v>0 c. 0 %</v>
      </c>
      <c r="W83" s="123" t="str">
        <f>VLOOKUP(D83,Poeng!$B$10:$BK$252,Poeng!BK$1,FALSE)</f>
        <v>N/A</v>
      </c>
      <c r="X83" s="81"/>
      <c r="Y83" s="80"/>
      <c r="Z83" s="738"/>
      <c r="AA83" s="133"/>
      <c r="AB83" s="640" t="s">
        <v>13</v>
      </c>
      <c r="AC83" s="107">
        <f t="shared" si="12"/>
        <v>1</v>
      </c>
      <c r="AD83" s="3" t="e">
        <f>VLOOKUP(K83,'Assessment Details'!$O$45:$P$48,2,FALSE)</f>
        <v>#N/A</v>
      </c>
      <c r="AE83" s="3" t="e">
        <f>VLOOKUP(R83,'Assessment Details'!$O$45:$P$48,2,FALSE)</f>
        <v>#N/A</v>
      </c>
      <c r="AF83" s="3" t="e">
        <f>VLOOKUP(Y83,'Assessment Details'!$O$45:$P$48,2,FALSE)</f>
        <v>#N/A</v>
      </c>
      <c r="AI83" s="70"/>
      <c r="AJ83" s="671" t="s">
        <v>131</v>
      </c>
      <c r="AK83" s="648" t="s">
        <v>406</v>
      </c>
      <c r="AL83" s="648" t="s">
        <v>408</v>
      </c>
      <c r="AM83" s="70"/>
      <c r="AN83" s="70"/>
      <c r="AO83" s="70"/>
      <c r="AP83" s="70"/>
      <c r="AR83" s="1" t="s">
        <v>13</v>
      </c>
      <c r="AS83" s="23" t="str">
        <f t="shared" si="3"/>
        <v>N/A</v>
      </c>
      <c r="AT83" s="23" t="str">
        <f t="shared" si="1"/>
        <v>N/A</v>
      </c>
      <c r="AU83" s="23" t="str">
        <f t="shared" si="2"/>
        <v>N/A</v>
      </c>
      <c r="AV83" s="23"/>
      <c r="AW83" s="23"/>
      <c r="AX83" s="23"/>
      <c r="AZ83" s="640"/>
    </row>
    <row r="84" spans="1:52" x14ac:dyDescent="0.25">
      <c r="A84" s="1076">
        <v>75</v>
      </c>
      <c r="B84" s="1077" t="s">
        <v>66</v>
      </c>
      <c r="C84" s="1082" t="str">
        <f t="shared" si="7"/>
        <v>Ene 06</v>
      </c>
      <c r="D84" s="824" t="s">
        <v>755</v>
      </c>
      <c r="E84" s="861" t="str">
        <f>VLOOKUP(D84,Poeng!$B$10:$R$252,Poeng!E$1,FALSE)</f>
        <v>Transport needs and usage patterns</v>
      </c>
      <c r="F84" s="122">
        <f>VLOOKUP(D84,Poeng!$B$10:$AB$252,Poeng!AB$1,FALSE)</f>
        <v>1</v>
      </c>
      <c r="G84" s="43"/>
      <c r="H84" s="123">
        <f>VLOOKUP(D84,Poeng!$B$10:$AE$252,Poeng!AE$1,FALSE)</f>
        <v>0</v>
      </c>
      <c r="I84" s="124" t="str">
        <f>VLOOKUP(D84,Poeng!$B$10:$BE$252,Poeng!BE$1,FALSE)</f>
        <v>N/A</v>
      </c>
      <c r="J84" s="80"/>
      <c r="K84" s="281"/>
      <c r="L84" s="796"/>
      <c r="M84" s="816"/>
      <c r="N84" s="83"/>
      <c r="O84" s="123">
        <f>VLOOKUP(D84,Poeng!$B$10:$BC$252,Poeng!AF$1,FALSE)</f>
        <v>0</v>
      </c>
      <c r="P84" s="123" t="str">
        <f>VLOOKUP(D84,Poeng!$B$10:$BH$252,Poeng!BH$1,FALSE)</f>
        <v>N/A</v>
      </c>
      <c r="Q84" s="744"/>
      <c r="R84" s="745"/>
      <c r="S84" s="738"/>
      <c r="T84" s="319"/>
      <c r="U84" s="83"/>
      <c r="V84" s="123">
        <f>VLOOKUP(D84,Poeng!$B$10:$BC$252,Poeng!AG$1,FALSE)</f>
        <v>0</v>
      </c>
      <c r="W84" s="123" t="str">
        <f>VLOOKUP(D84,Poeng!$B$10:$BK$252,Poeng!BK$1,FALSE)</f>
        <v>N/A</v>
      </c>
      <c r="X84" s="81"/>
      <c r="Y84" s="80"/>
      <c r="Z84" s="738"/>
      <c r="AA84" s="133"/>
      <c r="AB84" s="640"/>
      <c r="AC84" s="107">
        <f t="shared" si="12"/>
        <v>1</v>
      </c>
      <c r="AD84" s="3" t="e">
        <f>VLOOKUP(K84,'Assessment Details'!$O$45:$P$48,2,FALSE)</f>
        <v>#N/A</v>
      </c>
      <c r="AE84" s="3" t="e">
        <f>VLOOKUP(R84,'Assessment Details'!$O$45:$P$48,2,FALSE)</f>
        <v>#N/A</v>
      </c>
      <c r="AF84" s="3" t="e">
        <f>VLOOKUP(Y84,'Assessment Details'!$O$45:$P$48,2,FALSE)</f>
        <v>#N/A</v>
      </c>
      <c r="AI84" s="70"/>
      <c r="AJ84" s="671"/>
      <c r="AK84" s="648"/>
      <c r="AL84" s="648"/>
      <c r="AM84" s="70"/>
      <c r="AN84" s="70"/>
      <c r="AO84" s="70"/>
      <c r="AP84" s="70"/>
      <c r="AS84" s="23"/>
      <c r="AT84" s="23"/>
      <c r="AU84" s="23"/>
      <c r="AV84" s="23"/>
      <c r="AW84" s="23"/>
      <c r="AX84" s="23"/>
      <c r="AZ84" s="640"/>
    </row>
    <row r="85" spans="1:52" x14ac:dyDescent="0.25">
      <c r="A85" s="1076">
        <v>76</v>
      </c>
      <c r="B85" s="1077" t="s">
        <v>66</v>
      </c>
      <c r="C85" s="1082" t="str">
        <f>C83</f>
        <v>Ene 06</v>
      </c>
      <c r="D85" s="824" t="s">
        <v>756</v>
      </c>
      <c r="E85" s="861" t="str">
        <f>VLOOKUP(D85,Poeng!$B$10:$R$252,Poeng!E$1,FALSE)</f>
        <v>Energy efficient features: lifts</v>
      </c>
      <c r="F85" s="122">
        <f>VLOOKUP(D85,Poeng!$B$10:$AB$252,Poeng!AB$1,FALSE)</f>
        <v>1</v>
      </c>
      <c r="G85" s="43"/>
      <c r="H85" s="123">
        <f>VLOOKUP(D85,Poeng!$B$10:$AE$252,Poeng!AE$1,FALSE)</f>
        <v>0</v>
      </c>
      <c r="I85" s="124" t="str">
        <f>VLOOKUP(D85,Poeng!$B$10:$BE$252,Poeng!BE$1,FALSE)</f>
        <v>N/A</v>
      </c>
      <c r="J85" s="80"/>
      <c r="K85" s="281"/>
      <c r="L85" s="796"/>
      <c r="M85" s="816"/>
      <c r="N85" s="83"/>
      <c r="O85" s="123">
        <f>VLOOKUP(D85,Poeng!$B$10:$BC$252,Poeng!AF$1,FALSE)</f>
        <v>0</v>
      </c>
      <c r="P85" s="123" t="str">
        <f>VLOOKUP(D85,Poeng!$B$10:$BH$252,Poeng!BH$1,FALSE)</f>
        <v>N/A</v>
      </c>
      <c r="Q85" s="744"/>
      <c r="R85" s="745"/>
      <c r="S85" s="738"/>
      <c r="T85" s="319"/>
      <c r="U85" s="83"/>
      <c r="V85" s="123">
        <f>VLOOKUP(D85,Poeng!$B$10:$BC$252,Poeng!AG$1,FALSE)</f>
        <v>0</v>
      </c>
      <c r="W85" s="123" t="str">
        <f>VLOOKUP(D85,Poeng!$B$10:$BK$252,Poeng!BK$1,FALSE)</f>
        <v>N/A</v>
      </c>
      <c r="X85" s="81"/>
      <c r="Y85" s="80"/>
      <c r="Z85" s="738"/>
      <c r="AA85" s="133"/>
      <c r="AB85" s="640"/>
      <c r="AC85" s="107">
        <f t="shared" si="12"/>
        <v>1</v>
      </c>
      <c r="AD85" s="3" t="e">
        <f>VLOOKUP(K85,'Assessment Details'!$O$45:$P$48,2,FALSE)</f>
        <v>#N/A</v>
      </c>
      <c r="AE85" s="3" t="e">
        <f>VLOOKUP(R85,'Assessment Details'!$O$45:$P$48,2,FALSE)</f>
        <v>#N/A</v>
      </c>
      <c r="AF85" s="3" t="e">
        <f>VLOOKUP(Y85,'Assessment Details'!$O$45:$P$48,2,FALSE)</f>
        <v>#N/A</v>
      </c>
      <c r="AI85" s="70"/>
      <c r="AJ85" s="671"/>
      <c r="AK85" s="648"/>
      <c r="AL85" s="648"/>
      <c r="AM85" s="70"/>
      <c r="AN85" s="70"/>
      <c r="AO85" s="70"/>
      <c r="AP85" s="70"/>
      <c r="AS85" s="23"/>
      <c r="AT85" s="23"/>
      <c r="AU85" s="23"/>
      <c r="AV85" s="23"/>
      <c r="AW85" s="23"/>
      <c r="AX85" s="23"/>
      <c r="AZ85" s="640"/>
    </row>
    <row r="86" spans="1:52" x14ac:dyDescent="0.25">
      <c r="A86" s="1076">
        <v>77</v>
      </c>
      <c r="B86" s="1077" t="s">
        <v>66</v>
      </c>
      <c r="C86" s="1082" t="str">
        <f>C84</f>
        <v>Ene 06</v>
      </c>
      <c r="D86" s="824" t="s">
        <v>918</v>
      </c>
      <c r="E86" s="861" t="str">
        <f>VLOOKUP(D86,Poeng!$B$10:$R$252,Poeng!E$1,FALSE)</f>
        <v>Energy efficient features: escalators or moving walks</v>
      </c>
      <c r="F86" s="122">
        <f>VLOOKUP(D86,Poeng!$B$10:$AB$252,Poeng!AB$1,FALSE)</f>
        <v>1</v>
      </c>
      <c r="G86" s="43"/>
      <c r="H86" s="123">
        <f>VLOOKUP(D86,Poeng!$B$10:$AE$252,Poeng!AE$1,FALSE)</f>
        <v>0</v>
      </c>
      <c r="I86" s="124" t="str">
        <f>VLOOKUP(D86,Poeng!$B$10:$BE$252,Poeng!BE$1,FALSE)</f>
        <v>N/A</v>
      </c>
      <c r="J86" s="80"/>
      <c r="K86" s="281"/>
      <c r="L86" s="796"/>
      <c r="M86" s="816"/>
      <c r="N86" s="83"/>
      <c r="O86" s="123">
        <f>VLOOKUP(D86,Poeng!$B$10:$BC$252,Poeng!AF$1,FALSE)</f>
        <v>0</v>
      </c>
      <c r="P86" s="123" t="str">
        <f>VLOOKUP(D86,Poeng!$B$10:$BH$252,Poeng!BH$1,FALSE)</f>
        <v>N/A</v>
      </c>
      <c r="Q86" s="744"/>
      <c r="R86" s="745"/>
      <c r="S86" s="738"/>
      <c r="T86" s="319"/>
      <c r="U86" s="83"/>
      <c r="V86" s="123">
        <f>VLOOKUP(D86,Poeng!$B$10:$BC$252,Poeng!AG$1,FALSE)</f>
        <v>0</v>
      </c>
      <c r="W86" s="123" t="str">
        <f>VLOOKUP(D86,Poeng!$B$10:$BK$252,Poeng!BK$1,FALSE)</f>
        <v>N/A</v>
      </c>
      <c r="X86" s="81"/>
      <c r="Y86" s="80"/>
      <c r="Z86" s="738"/>
      <c r="AA86" s="133"/>
      <c r="AB86" s="640"/>
      <c r="AC86" s="107">
        <f t="shared" si="12"/>
        <v>1</v>
      </c>
      <c r="AD86" s="3" t="e">
        <f>VLOOKUP(K86,'Assessment Details'!$O$45:$P$48,2,FALSE)</f>
        <v>#N/A</v>
      </c>
      <c r="AE86" s="3" t="e">
        <f>VLOOKUP(R86,'Assessment Details'!$O$45:$P$48,2,FALSE)</f>
        <v>#N/A</v>
      </c>
      <c r="AF86" s="3" t="e">
        <f>VLOOKUP(Y86,'Assessment Details'!$O$45:$P$48,2,FALSE)</f>
        <v>#N/A</v>
      </c>
      <c r="AI86" s="70"/>
      <c r="AJ86" s="671"/>
      <c r="AK86" s="648"/>
      <c r="AL86" s="648"/>
      <c r="AM86" s="70"/>
      <c r="AN86" s="70"/>
      <c r="AO86" s="70"/>
      <c r="AP86" s="70"/>
      <c r="AS86" s="23"/>
      <c r="AT86" s="23"/>
      <c r="AU86" s="23"/>
      <c r="AV86" s="23"/>
      <c r="AW86" s="23"/>
      <c r="AX86" s="23"/>
      <c r="AZ86" s="640"/>
    </row>
    <row r="87" spans="1:52" x14ac:dyDescent="0.25">
      <c r="A87" s="1076">
        <v>78</v>
      </c>
      <c r="B87" s="1077" t="s">
        <v>66</v>
      </c>
      <c r="C87" s="924" t="s">
        <v>141</v>
      </c>
      <c r="D87" s="824" t="s">
        <v>141</v>
      </c>
      <c r="E87" s="860" t="str">
        <f>VLOOKUP(D87,Poeng!$B$10:$R$252,Poeng!E$1,FALSE)</f>
        <v>Ene 07 Energy Efficient Laboratory Systems</v>
      </c>
      <c r="F87" s="865">
        <f>VLOOKUP(D87,Poeng!$B$10:$AB$252,Poeng!AB$1,FALSE)</f>
        <v>5</v>
      </c>
      <c r="G87" s="1001"/>
      <c r="H87" s="866" t="str">
        <f>VLOOKUP(D87,Poeng!$B$10:$AI$252,Poeng!AI$1,FALSE)&amp;" c. "&amp;ROUND(VLOOKUP(D87,Poeng!$B$10:$AE$252,Poeng!AE$1,FALSE)*100,1)&amp;" %"</f>
        <v>0 c. 0 %</v>
      </c>
      <c r="I87" s="924" t="str">
        <f>VLOOKUP(D87,Poeng!$B$10:$BE$252,Poeng!BE$1,FALSE)</f>
        <v>N/A</v>
      </c>
      <c r="J87" s="80"/>
      <c r="K87" s="281"/>
      <c r="L87" s="796"/>
      <c r="M87" s="816"/>
      <c r="N87" s="1001"/>
      <c r="O87" s="877" t="str">
        <f>VLOOKUP(D87,Poeng!$B$10:$BC$252,Poeng!AJ$1,FALSE)&amp;" c. "&amp;ROUND(VLOOKUP(D87,Poeng!$B$10:$BC$252,Poeng!AF$1,FALSE)*100,1)&amp;" %"</f>
        <v>0 c. 0 %</v>
      </c>
      <c r="P87" s="123" t="str">
        <f>VLOOKUP(D87,Poeng!$B$10:$BH$252,Poeng!BH$1,FALSE)</f>
        <v>N/A</v>
      </c>
      <c r="Q87" s="744"/>
      <c r="R87" s="745"/>
      <c r="S87" s="738"/>
      <c r="T87" s="319"/>
      <c r="U87" s="1001"/>
      <c r="V87" s="877" t="str">
        <f>VLOOKUP(D87,Poeng!$B$10:$BC$252,Poeng!AK$1,FALSE)&amp;" c. "&amp;ROUND(VLOOKUP(D87,Poeng!$B$10:$BC$252,Poeng!AG$1,FALSE)*100,1)&amp;" %"</f>
        <v>0 c. 0 %</v>
      </c>
      <c r="W87" s="123" t="str">
        <f>VLOOKUP(D87,Poeng!$B$10:$BK$252,Poeng!BK$1,FALSE)</f>
        <v>N/A</v>
      </c>
      <c r="X87" s="81"/>
      <c r="Y87" s="80"/>
      <c r="Z87" s="738"/>
      <c r="AA87" s="133"/>
      <c r="AB87" s="640" t="s">
        <v>14</v>
      </c>
      <c r="AC87" s="107">
        <f t="shared" si="12"/>
        <v>1</v>
      </c>
      <c r="AD87" s="3" t="e">
        <f>VLOOKUP(K87,'Assessment Details'!$O$45:$P$48,2,FALSE)</f>
        <v>#N/A</v>
      </c>
      <c r="AE87" s="3" t="e">
        <f>VLOOKUP(R87,'Assessment Details'!$O$45:$P$48,2,FALSE)</f>
        <v>#N/A</v>
      </c>
      <c r="AF87" s="3" t="e">
        <f>VLOOKUP(Y87,'Assessment Details'!$O$45:$P$48,2,FALSE)</f>
        <v>#N/A</v>
      </c>
      <c r="AI87" s="70"/>
      <c r="AJ87" s="671" t="s">
        <v>132</v>
      </c>
      <c r="AK87" s="70"/>
      <c r="AL87" s="70"/>
      <c r="AM87" s="70"/>
      <c r="AN87" s="70"/>
      <c r="AO87" s="70"/>
      <c r="AP87" s="70"/>
      <c r="AS87" s="23" t="str">
        <f t="shared" si="3"/>
        <v>N/A</v>
      </c>
      <c r="AT87" s="23" t="str">
        <f t="shared" si="1"/>
        <v>N/A</v>
      </c>
      <c r="AU87" s="23" t="str">
        <f t="shared" si="2"/>
        <v>N/A</v>
      </c>
      <c r="AV87" s="23"/>
      <c r="AW87" s="23"/>
      <c r="AX87" s="23"/>
      <c r="AZ87" s="640"/>
    </row>
    <row r="88" spans="1:52" x14ac:dyDescent="0.25">
      <c r="A88" s="1076">
        <v>79</v>
      </c>
      <c r="B88" s="1077" t="s">
        <v>66</v>
      </c>
      <c r="C88" s="1082" t="str">
        <f t="shared" si="7"/>
        <v>Ene 07</v>
      </c>
      <c r="D88" s="824" t="s">
        <v>757</v>
      </c>
      <c r="E88" s="861" t="str">
        <f>VLOOKUP(D88,Poeng!$B$10:$R$252,Poeng!E$1,FALSE)</f>
        <v xml:space="preserve">Design specification </v>
      </c>
      <c r="F88" s="122">
        <f>VLOOKUP(D88,Poeng!$B$10:$AB$252,Poeng!AB$1,FALSE)</f>
        <v>1</v>
      </c>
      <c r="G88" s="43"/>
      <c r="H88" s="123">
        <f>VLOOKUP(D88,Poeng!$B$10:$AE$252,Poeng!AE$1,FALSE)</f>
        <v>0</v>
      </c>
      <c r="I88" s="124" t="str">
        <f>VLOOKUP(D88,Poeng!$B$10:$BE$252,Poeng!BE$1,FALSE)</f>
        <v>Unclassified</v>
      </c>
      <c r="J88" s="80"/>
      <c r="K88" s="281"/>
      <c r="L88" s="796"/>
      <c r="M88" s="816"/>
      <c r="N88" s="83"/>
      <c r="O88" s="123">
        <f>VLOOKUP(D88,Poeng!$B$10:$BC$252,Poeng!AF$1,FALSE)</f>
        <v>0</v>
      </c>
      <c r="P88" s="123" t="str">
        <f>VLOOKUP(D88,Poeng!$B$10:$BH$252,Poeng!BH$1,FALSE)</f>
        <v>Unclassified</v>
      </c>
      <c r="Q88" s="744"/>
      <c r="R88" s="745"/>
      <c r="S88" s="738"/>
      <c r="T88" s="319"/>
      <c r="U88" s="83"/>
      <c r="V88" s="123">
        <f>VLOOKUP(D88,Poeng!$B$10:$BC$252,Poeng!AG$1,FALSE)</f>
        <v>0</v>
      </c>
      <c r="W88" s="123" t="str">
        <f>VLOOKUP(D88,Poeng!$B$10:$BK$252,Poeng!BK$1,FALSE)</f>
        <v>Unclassified</v>
      </c>
      <c r="X88" s="81"/>
      <c r="Y88" s="80"/>
      <c r="Z88" s="738"/>
      <c r="AA88" s="133"/>
      <c r="AB88" s="640"/>
      <c r="AC88" s="107">
        <f t="shared" si="12"/>
        <v>1</v>
      </c>
      <c r="AD88" s="3" t="e">
        <f>VLOOKUP(K88,'Assessment Details'!$O$45:$P$48,2,FALSE)</f>
        <v>#N/A</v>
      </c>
      <c r="AE88" s="3" t="e">
        <f>VLOOKUP(R88,'Assessment Details'!$O$45:$P$48,2,FALSE)</f>
        <v>#N/A</v>
      </c>
      <c r="AF88" s="3" t="e">
        <f>VLOOKUP(Y88,'Assessment Details'!$O$45:$P$48,2,FALSE)</f>
        <v>#N/A</v>
      </c>
      <c r="AI88" s="70"/>
      <c r="AJ88" s="671"/>
      <c r="AK88" s="70"/>
      <c r="AL88" s="70"/>
      <c r="AM88" s="70"/>
      <c r="AN88" s="70"/>
      <c r="AO88" s="70"/>
      <c r="AP88" s="70"/>
      <c r="AS88" s="23"/>
      <c r="AT88" s="23"/>
      <c r="AU88" s="23"/>
      <c r="AV88" s="23"/>
      <c r="AW88" s="23"/>
      <c r="AX88" s="23"/>
      <c r="AZ88" s="640"/>
    </row>
    <row r="89" spans="1:52" x14ac:dyDescent="0.25">
      <c r="A89" s="1076">
        <v>80</v>
      </c>
      <c r="B89" s="1077" t="s">
        <v>66</v>
      </c>
      <c r="C89" s="1082" t="str">
        <f t="shared" si="7"/>
        <v>Ene 07</v>
      </c>
      <c r="D89" s="824" t="s">
        <v>758</v>
      </c>
      <c r="E89" s="861" t="str">
        <f>VLOOKUP(D89,Poeng!$B$10:$R$252,Poeng!E$1,FALSE)</f>
        <v xml:space="preserve">Best practice energy efficient measures </v>
      </c>
      <c r="F89" s="122">
        <f>VLOOKUP(D89,Poeng!$B$10:$AB$252,Poeng!AB$1,FALSE)</f>
        <v>4</v>
      </c>
      <c r="G89" s="43"/>
      <c r="H89" s="123">
        <f>VLOOKUP(D89,Poeng!$B$10:$AE$252,Poeng!AE$1,FALSE)</f>
        <v>0</v>
      </c>
      <c r="I89" s="124" t="str">
        <f>VLOOKUP(D89,Poeng!$B$10:$BE$252,Poeng!BE$1,FALSE)</f>
        <v>N/A</v>
      </c>
      <c r="J89" s="80"/>
      <c r="K89" s="281"/>
      <c r="L89" s="796"/>
      <c r="M89" s="816"/>
      <c r="N89" s="83"/>
      <c r="O89" s="123">
        <f>VLOOKUP(D89,Poeng!$B$10:$BC$252,Poeng!AF$1,FALSE)</f>
        <v>0</v>
      </c>
      <c r="P89" s="123" t="str">
        <f>VLOOKUP(D89,Poeng!$B$10:$BH$252,Poeng!BH$1,FALSE)</f>
        <v>N/A</v>
      </c>
      <c r="Q89" s="744"/>
      <c r="R89" s="745"/>
      <c r="S89" s="738"/>
      <c r="T89" s="319"/>
      <c r="U89" s="83"/>
      <c r="V89" s="123">
        <f>VLOOKUP(D89,Poeng!$B$10:$BC$252,Poeng!AG$1,FALSE)</f>
        <v>0</v>
      </c>
      <c r="W89" s="123" t="str">
        <f>VLOOKUP(D89,Poeng!$B$10:$BK$252,Poeng!BK$1,FALSE)</f>
        <v>N/A</v>
      </c>
      <c r="X89" s="81"/>
      <c r="Y89" s="80"/>
      <c r="Z89" s="738"/>
      <c r="AA89" s="133"/>
      <c r="AB89" s="640"/>
      <c r="AC89" s="107">
        <f t="shared" si="12"/>
        <v>1</v>
      </c>
      <c r="AD89" s="3" t="e">
        <f>VLOOKUP(K89,'Assessment Details'!$O$45:$P$48,2,FALSE)</f>
        <v>#N/A</v>
      </c>
      <c r="AE89" s="3" t="e">
        <f>VLOOKUP(R89,'Assessment Details'!$O$45:$P$48,2,FALSE)</f>
        <v>#N/A</v>
      </c>
      <c r="AF89" s="3" t="e">
        <f>VLOOKUP(Y89,'Assessment Details'!$O$45:$P$48,2,FALSE)</f>
        <v>#N/A</v>
      </c>
      <c r="AI89" s="70"/>
      <c r="AJ89" s="671"/>
      <c r="AK89" s="70"/>
      <c r="AL89" s="70"/>
      <c r="AM89" s="70"/>
      <c r="AN89" s="70"/>
      <c r="AO89" s="70"/>
      <c r="AP89" s="70"/>
      <c r="AS89" s="23"/>
      <c r="AT89" s="23"/>
      <c r="AU89" s="23"/>
      <c r="AV89" s="23"/>
      <c r="AW89" s="23"/>
      <c r="AX89" s="23"/>
      <c r="AZ89" s="640"/>
    </row>
    <row r="90" spans="1:52" x14ac:dyDescent="0.25">
      <c r="A90" s="1076">
        <v>81</v>
      </c>
      <c r="B90" s="1077" t="s">
        <v>66</v>
      </c>
      <c r="C90" s="924" t="s">
        <v>142</v>
      </c>
      <c r="D90" s="824" t="s">
        <v>142</v>
      </c>
      <c r="E90" s="860" t="str">
        <f>VLOOKUP(D90,Poeng!$B$10:$R$252,Poeng!E$1,FALSE)</f>
        <v>Ene 08 Energy efficient equipment</v>
      </c>
      <c r="F90" s="865">
        <f>VLOOKUP(D90,Poeng!$B$10:$AB$252,Poeng!AB$1,FALSE)</f>
        <v>2</v>
      </c>
      <c r="G90" s="1001"/>
      <c r="H90" s="866" t="str">
        <f>VLOOKUP(D90,Poeng!$B$10:$AI$252,Poeng!AI$1,FALSE)&amp;" c. "&amp;ROUND(VLOOKUP(D90,Poeng!$B$10:$AE$252,Poeng!AE$1,FALSE)*100,1)&amp;" %"</f>
        <v>0 c. 0 %</v>
      </c>
      <c r="I90" s="924" t="str">
        <f>VLOOKUP(D90,Poeng!$B$10:$BE$252,Poeng!BE$1,FALSE)</f>
        <v>N/A</v>
      </c>
      <c r="J90" s="80"/>
      <c r="K90" s="281"/>
      <c r="L90" s="796"/>
      <c r="M90" s="816"/>
      <c r="N90" s="1001"/>
      <c r="O90" s="877" t="str">
        <f>VLOOKUP(D90,Poeng!$B$10:$BC$252,Poeng!AJ$1,FALSE)&amp;" c. "&amp;ROUND(VLOOKUP(D90,Poeng!$B$10:$BC$252,Poeng!AF$1,FALSE)*100,1)&amp;" %"</f>
        <v>0 c. 0 %</v>
      </c>
      <c r="P90" s="123" t="str">
        <f>VLOOKUP(D90,Poeng!$B$10:$BH$252,Poeng!BH$1,FALSE)</f>
        <v>N/A</v>
      </c>
      <c r="Q90" s="744"/>
      <c r="R90" s="745"/>
      <c r="S90" s="738"/>
      <c r="T90" s="319"/>
      <c r="U90" s="1001"/>
      <c r="V90" s="877" t="str">
        <f>VLOOKUP(D90,Poeng!$B$10:$BC$252,Poeng!AK$1,FALSE)&amp;" c. "&amp;ROUND(VLOOKUP(D90,Poeng!$B$10:$BC$252,Poeng!AG$1,FALSE)*100,1)&amp;" %"</f>
        <v>0 c. 0 %</v>
      </c>
      <c r="W90" s="123" t="str">
        <f>VLOOKUP(D90,Poeng!$B$10:$BK$252,Poeng!BK$1,FALSE)</f>
        <v>N/A</v>
      </c>
      <c r="X90" s="81"/>
      <c r="Y90" s="80"/>
      <c r="Z90" s="738"/>
      <c r="AA90" s="133"/>
      <c r="AB90" s="640" t="s">
        <v>13</v>
      </c>
      <c r="AC90" s="107">
        <f t="shared" si="12"/>
        <v>1</v>
      </c>
      <c r="AD90" s="3" t="e">
        <f>VLOOKUP(K90,'Assessment Details'!$O$45:$P$48,2,FALSE)</f>
        <v>#N/A</v>
      </c>
      <c r="AE90" s="3" t="e">
        <f>VLOOKUP(R90,'Assessment Details'!$O$45:$P$48,2,FALSE)</f>
        <v>#N/A</v>
      </c>
      <c r="AF90" s="3" t="e">
        <f>VLOOKUP(Y90,'Assessment Details'!$O$45:$P$48,2,FALSE)</f>
        <v>#N/A</v>
      </c>
      <c r="AI90" s="70" t="str">
        <f>ais_ja</f>
        <v>Ja</v>
      </c>
      <c r="AJ90" s="671" t="s">
        <v>133</v>
      </c>
      <c r="AK90" s="648" t="s">
        <v>406</v>
      </c>
      <c r="AL90" s="648" t="s">
        <v>410</v>
      </c>
      <c r="AM90" s="648" t="s">
        <v>408</v>
      </c>
      <c r="AN90" s="70"/>
      <c r="AO90" s="70"/>
      <c r="AP90" s="70"/>
      <c r="AR90" s="1" t="s">
        <v>13</v>
      </c>
      <c r="AS90" s="23" t="str">
        <f t="shared" si="3"/>
        <v>N/A</v>
      </c>
      <c r="AT90" s="23" t="str">
        <f t="shared" si="1"/>
        <v>N/A</v>
      </c>
      <c r="AU90" s="23" t="str">
        <f t="shared" si="2"/>
        <v>N/A</v>
      </c>
      <c r="AV90" s="23"/>
      <c r="AW90" s="23"/>
      <c r="AX90" s="23"/>
      <c r="AZ90" s="640"/>
    </row>
    <row r="91" spans="1:52" x14ac:dyDescent="0.25">
      <c r="A91" s="1076">
        <v>82</v>
      </c>
      <c r="B91" s="1077" t="s">
        <v>66</v>
      </c>
      <c r="C91" s="1087" t="str">
        <f t="shared" si="7"/>
        <v>Ene 08</v>
      </c>
      <c r="D91" s="824" t="s">
        <v>759</v>
      </c>
      <c r="E91" s="1071" t="str">
        <f>VLOOKUP(D91,Poeng!$B$10:$R$252,Poeng!E$1,FALSE)</f>
        <v xml:space="preserve">Reduction of the building's significant unregulated energy consumption </v>
      </c>
      <c r="F91" s="122">
        <f>VLOOKUP(D91,Poeng!$B$10:$AB$252,Poeng!AB$1,FALSE)</f>
        <v>2</v>
      </c>
      <c r="G91" s="43"/>
      <c r="H91" s="123">
        <f>VLOOKUP(D91,Poeng!$B$10:$AE$252,Poeng!AE$1,FALSE)</f>
        <v>0</v>
      </c>
      <c r="I91" s="124" t="str">
        <f>VLOOKUP(D91,Poeng!$B$10:$BE$252,Poeng!BE$1,FALSE)</f>
        <v>N/A</v>
      </c>
      <c r="J91" s="80"/>
      <c r="K91" s="281"/>
      <c r="L91" s="796"/>
      <c r="M91" s="816"/>
      <c r="N91" s="83"/>
      <c r="O91" s="123">
        <f>VLOOKUP(D91,Poeng!$B$10:$BC$252,Poeng!AF$1,FALSE)</f>
        <v>0</v>
      </c>
      <c r="P91" s="123" t="str">
        <f>VLOOKUP(D91,Poeng!$B$10:$BH$252,Poeng!BH$1,FALSE)</f>
        <v>N/A</v>
      </c>
      <c r="Q91" s="744"/>
      <c r="R91" s="745"/>
      <c r="S91" s="738"/>
      <c r="T91" s="319"/>
      <c r="U91" s="83"/>
      <c r="V91" s="123">
        <f>VLOOKUP(D91,Poeng!$B$10:$BC$252,Poeng!AG$1,FALSE)</f>
        <v>0</v>
      </c>
      <c r="W91" s="123" t="str">
        <f>VLOOKUP(D91,Poeng!$B$10:$BK$252,Poeng!BK$1,FALSE)</f>
        <v>N/A</v>
      </c>
      <c r="X91" s="81"/>
      <c r="Y91" s="80"/>
      <c r="Z91" s="738"/>
      <c r="AA91" s="133"/>
      <c r="AB91" s="714"/>
      <c r="AC91" s="107">
        <f t="shared" si="12"/>
        <v>1</v>
      </c>
      <c r="AD91" s="3" t="e">
        <f>VLOOKUP(K91,'Assessment Details'!$O$45:$P$48,2,FALSE)</f>
        <v>#N/A</v>
      </c>
      <c r="AE91" s="3" t="e">
        <f>VLOOKUP(R91,'Assessment Details'!$O$45:$P$48,2,FALSE)</f>
        <v>#N/A</v>
      </c>
      <c r="AF91" s="3" t="e">
        <f>VLOOKUP(Y91,'Assessment Details'!$O$45:$P$48,2,FALSE)</f>
        <v>#N/A</v>
      </c>
      <c r="AI91" s="70"/>
      <c r="AJ91" s="671"/>
      <c r="AK91" s="648"/>
      <c r="AL91" s="648"/>
      <c r="AM91" s="648"/>
      <c r="AN91" s="70"/>
      <c r="AO91" s="70"/>
      <c r="AP91" s="70"/>
      <c r="AS91" s="23"/>
      <c r="AT91" s="23"/>
      <c r="AU91" s="23"/>
      <c r="AV91" s="23"/>
      <c r="AW91" s="23"/>
      <c r="AX91" s="23"/>
      <c r="AZ91" s="714"/>
    </row>
    <row r="92" spans="1:52" ht="15.75" thickBot="1" x14ac:dyDescent="0.3">
      <c r="A92" s="1076">
        <v>83</v>
      </c>
      <c r="B92" s="1077" t="s">
        <v>66</v>
      </c>
      <c r="C92" s="1083"/>
      <c r="D92" s="824" t="s">
        <v>884</v>
      </c>
      <c r="E92" s="320" t="s">
        <v>105</v>
      </c>
      <c r="F92" s="125">
        <f>Ene_Credits</f>
        <v>27</v>
      </c>
      <c r="G92" s="131"/>
      <c r="H92" s="126">
        <f>Ene_cont_tot</f>
        <v>0</v>
      </c>
      <c r="I92" s="867" t="str">
        <f>"Credits achieved: "&amp;Ene_tot_user</f>
        <v>Credits achieved: 0</v>
      </c>
      <c r="J92" s="134"/>
      <c r="K92" s="282"/>
      <c r="L92" s="746"/>
      <c r="M92" s="816"/>
      <c r="N92" s="383"/>
      <c r="O92" s="126">
        <f>VLOOKUP(D92,Poeng!$B$10:$BC$252,Poeng!AF$1,FALSE)</f>
        <v>0</v>
      </c>
      <c r="P92" s="867" t="str">
        <f>"Credits achieved: "&amp;Ene_d_user</f>
        <v>Credits achieved: 0</v>
      </c>
      <c r="Q92" s="747"/>
      <c r="R92" s="748"/>
      <c r="S92" s="746"/>
      <c r="T92" s="319"/>
      <c r="U92" s="383"/>
      <c r="V92" s="126">
        <f>VLOOKUP(D92,Poeng!$B$10:$BC$252,Poeng!AG$1,FALSE)</f>
        <v>0</v>
      </c>
      <c r="W92" s="867" t="str">
        <f>"Credits achieved: "&amp;Ene_c_user</f>
        <v>Credits achieved: 0</v>
      </c>
      <c r="X92" s="382"/>
      <c r="Y92" s="136"/>
      <c r="Z92" s="746"/>
      <c r="AA92" s="133"/>
      <c r="AB92" s="641"/>
      <c r="AC92" s="107">
        <f t="shared" si="12"/>
        <v>1</v>
      </c>
      <c r="AD92" s="276">
        <v>0</v>
      </c>
      <c r="AE92" s="276">
        <v>0</v>
      </c>
      <c r="AF92" s="276">
        <v>0</v>
      </c>
      <c r="AI92" s="70"/>
      <c r="AJ92" s="671" t="s">
        <v>105</v>
      </c>
      <c r="AK92" s="70"/>
      <c r="AL92" s="70"/>
      <c r="AM92" s="70"/>
      <c r="AN92" s="70"/>
      <c r="AO92" s="70"/>
      <c r="AP92" s="70"/>
      <c r="AS92" s="23" t="str">
        <f t="shared" si="3"/>
        <v>N/A</v>
      </c>
      <c r="AT92" s="23" t="str">
        <f t="shared" si="1"/>
        <v>N/A</v>
      </c>
      <c r="AU92" s="23" t="str">
        <f t="shared" si="2"/>
        <v>N/A</v>
      </c>
      <c r="AV92" s="23"/>
      <c r="AW92" s="23"/>
      <c r="AX92" s="23"/>
      <c r="AZ92" s="641"/>
    </row>
    <row r="93" spans="1:52" x14ac:dyDescent="0.25">
      <c r="A93" s="1076">
        <v>84</v>
      </c>
      <c r="B93" s="1077" t="s">
        <v>66</v>
      </c>
      <c r="C93" s="322"/>
      <c r="D93" s="824"/>
      <c r="E93" s="321"/>
      <c r="F93" s="322"/>
      <c r="G93" s="323"/>
      <c r="H93" s="322"/>
      <c r="I93" s="322"/>
      <c r="J93" s="324"/>
      <c r="K93" s="323"/>
      <c r="L93" s="749"/>
      <c r="M93" s="815"/>
      <c r="N93" s="325"/>
      <c r="O93" s="325"/>
      <c r="P93" s="749"/>
      <c r="Q93" s="749"/>
      <c r="R93" s="750"/>
      <c r="S93" s="1094"/>
      <c r="T93" s="326"/>
      <c r="U93" s="325"/>
      <c r="V93" s="325"/>
      <c r="W93" s="749"/>
      <c r="X93" s="324"/>
      <c r="Y93" s="325"/>
      <c r="Z93" s="1094"/>
      <c r="AA93" s="699"/>
      <c r="AB93" s="324"/>
      <c r="AC93" s="107">
        <f t="shared" si="12"/>
        <v>1</v>
      </c>
      <c r="AD93" s="278">
        <v>0</v>
      </c>
      <c r="AE93" s="278">
        <v>0</v>
      </c>
      <c r="AF93" s="278">
        <v>0</v>
      </c>
      <c r="AI93" s="70"/>
      <c r="AJ93" s="671"/>
      <c r="AK93" s="70"/>
      <c r="AL93" s="70"/>
      <c r="AM93" s="70"/>
      <c r="AN93" s="70"/>
      <c r="AO93" s="70"/>
      <c r="AP93" s="70"/>
      <c r="AS93" s="23" t="str">
        <f t="shared" ref="AS93:AS161" si="13">IF($AJ$4=ais_nei,AIS_NA,IF(AK93="",AIS_NA,AK93))</f>
        <v>N/A</v>
      </c>
      <c r="AT93" s="23" t="str">
        <f t="shared" ref="AT93:AT161" si="14">IF($AJ$4=ais_nei,AIS_NA,IF(AL93="",AIS_NA,AL93))</f>
        <v>N/A</v>
      </c>
      <c r="AU93" s="23" t="str">
        <f t="shared" ref="AU93:AV161" si="15">IF($AJ$4=ais_nei,AIS_NA,IF(AM93="",AIS_NA,AM93))</f>
        <v>N/A</v>
      </c>
      <c r="AV93" s="23"/>
      <c r="AW93" s="23"/>
      <c r="AX93" s="23"/>
      <c r="AZ93" s="324"/>
    </row>
    <row r="94" spans="1:52" ht="18.75" x14ac:dyDescent="0.25">
      <c r="A94" s="1076">
        <v>85</v>
      </c>
      <c r="B94" s="1077" t="s">
        <v>67</v>
      </c>
      <c r="C94" s="1084"/>
      <c r="D94" s="824"/>
      <c r="E94" s="327" t="s">
        <v>53</v>
      </c>
      <c r="F94" s="315"/>
      <c r="G94" s="316"/>
      <c r="H94" s="336"/>
      <c r="I94" s="315"/>
      <c r="J94" s="328"/>
      <c r="K94" s="329"/>
      <c r="L94" s="752"/>
      <c r="M94" s="816"/>
      <c r="N94" s="339"/>
      <c r="O94" s="332"/>
      <c r="P94" s="742"/>
      <c r="Q94" s="753"/>
      <c r="R94" s="754"/>
      <c r="S94" s="755"/>
      <c r="T94" s="319"/>
      <c r="U94" s="339"/>
      <c r="V94" s="338"/>
      <c r="W94" s="742"/>
      <c r="X94" s="328"/>
      <c r="Y94" s="338"/>
      <c r="Z94" s="752"/>
      <c r="AA94" s="133"/>
      <c r="AB94" s="337"/>
      <c r="AC94" s="107">
        <f t="shared" si="12"/>
        <v>1</v>
      </c>
      <c r="AD94" s="275">
        <v>0</v>
      </c>
      <c r="AE94" s="275">
        <v>0</v>
      </c>
      <c r="AF94" s="275">
        <v>0</v>
      </c>
      <c r="AI94" s="70"/>
      <c r="AJ94" s="671" t="s">
        <v>53</v>
      </c>
      <c r="AK94" s="70"/>
      <c r="AL94" s="70"/>
      <c r="AM94" s="70"/>
      <c r="AN94" s="70"/>
      <c r="AO94" s="70"/>
      <c r="AP94" s="70"/>
      <c r="AS94" s="23" t="str">
        <f t="shared" si="13"/>
        <v>N/A</v>
      </c>
      <c r="AT94" s="23" t="str">
        <f t="shared" si="14"/>
        <v>N/A</v>
      </c>
      <c r="AU94" s="23" t="str">
        <f t="shared" si="15"/>
        <v>N/A</v>
      </c>
      <c r="AV94" s="23"/>
      <c r="AW94" s="23"/>
      <c r="AX94" s="23"/>
      <c r="AZ94" s="337"/>
    </row>
    <row r="95" spans="1:52" x14ac:dyDescent="0.25">
      <c r="A95" s="1076">
        <v>86</v>
      </c>
      <c r="B95" s="1077" t="s">
        <v>67</v>
      </c>
      <c r="C95" s="924" t="s">
        <v>147</v>
      </c>
      <c r="D95" s="824" t="s">
        <v>147</v>
      </c>
      <c r="E95" s="860" t="str">
        <f>VLOOKUP(D95,Poeng!$B$10:$R$252,Poeng!E$1,FALSE)</f>
        <v>Tra 01 Transport assessment and travel plan</v>
      </c>
      <c r="F95" s="865">
        <f>VLOOKUP(D95,Poeng!$B$10:$AB$252,Poeng!AB$1,FALSE)</f>
        <v>3</v>
      </c>
      <c r="G95" s="1000"/>
      <c r="H95" s="866" t="str">
        <f>VLOOKUP(D95,Poeng!$B$10:$AI$252,Poeng!AI$1,FALSE)&amp;" c. "&amp;ROUND(VLOOKUP(D95,Poeng!$B$10:$AE$252,Poeng!AE$1,FALSE)*100,1)&amp;" %"</f>
        <v>0 c. 0 %</v>
      </c>
      <c r="I95" s="923" t="str">
        <f>VLOOKUP(D95,Poeng!$B$10:$BE$252,Poeng!BE$1,FALSE)</f>
        <v>N/A</v>
      </c>
      <c r="J95" s="874"/>
      <c r="K95" s="875"/>
      <c r="L95" s="876"/>
      <c r="M95" s="815"/>
      <c r="N95" s="1001"/>
      <c r="O95" s="1093" t="str">
        <f>VLOOKUP(D95,Poeng!$B$10:$BC$252,Poeng!AJ$1,FALSE)&amp;" c. "&amp;ROUND(VLOOKUP(D95,Poeng!$B$10:$BC$252,Poeng!AF$1,FALSE)*100,1)&amp;" %"</f>
        <v>0 c. 0 %</v>
      </c>
      <c r="P95" s="123" t="str">
        <f>VLOOKUP(D95,Poeng!$B$10:$BH$252,Poeng!BH$1,FALSE)</f>
        <v>N/A</v>
      </c>
      <c r="Q95" s="744"/>
      <c r="R95" s="745"/>
      <c r="S95" s="738"/>
      <c r="T95" s="319"/>
      <c r="U95" s="1001"/>
      <c r="V95" s="877" t="str">
        <f>VLOOKUP(D95,Poeng!$B$10:$BC$252,Poeng!AK$1,FALSE)&amp;" c. "&amp;ROUND(VLOOKUP(D95,Poeng!$B$10:$BC$252,Poeng!AG$1,FALSE)*100,1)&amp;" %"</f>
        <v>0 c. 0 %</v>
      </c>
      <c r="W95" s="123" t="str">
        <f>VLOOKUP(D95,Poeng!$B$10:$BK$252,Poeng!BK$1,FALSE)</f>
        <v>N/A</v>
      </c>
      <c r="X95" s="81"/>
      <c r="Y95" s="80"/>
      <c r="Z95" s="738"/>
      <c r="AA95" s="133"/>
      <c r="AB95" s="640" t="s">
        <v>14</v>
      </c>
      <c r="AC95" s="107">
        <f t="shared" si="12"/>
        <v>1</v>
      </c>
      <c r="AD95" s="3" t="e">
        <f>VLOOKUP(K95,'Assessment Details'!$O$45:$P$48,2,FALSE)</f>
        <v>#N/A</v>
      </c>
      <c r="AE95" s="3" t="e">
        <f>VLOOKUP(R95,'Assessment Details'!$O$45:$P$48,2,FALSE)</f>
        <v>#N/A</v>
      </c>
      <c r="AF95" s="3" t="e">
        <f>VLOOKUP(Y95,'Assessment Details'!$O$45:$P$48,2,FALSE)</f>
        <v>#N/A</v>
      </c>
      <c r="AI95" s="70"/>
      <c r="AJ95" s="671" t="s">
        <v>145</v>
      </c>
      <c r="AK95" s="70"/>
      <c r="AL95" s="70"/>
      <c r="AM95" s="70"/>
      <c r="AN95" s="70"/>
      <c r="AO95" s="70"/>
      <c r="AP95" s="70"/>
      <c r="AS95" s="23" t="str">
        <f t="shared" si="13"/>
        <v>N/A</v>
      </c>
      <c r="AT95" s="23" t="str">
        <f t="shared" si="14"/>
        <v>N/A</v>
      </c>
      <c r="AU95" s="23" t="str">
        <f t="shared" si="15"/>
        <v>N/A</v>
      </c>
      <c r="AV95" s="23"/>
      <c r="AW95" s="23"/>
      <c r="AX95" s="23"/>
      <c r="AZ95" s="640"/>
    </row>
    <row r="96" spans="1:52" x14ac:dyDescent="0.25">
      <c r="A96" s="1076">
        <v>87</v>
      </c>
      <c r="B96" s="1077" t="s">
        <v>67</v>
      </c>
      <c r="C96" s="1082" t="str">
        <f t="shared" si="7"/>
        <v>Tra 01</v>
      </c>
      <c r="D96" s="19" t="s">
        <v>760</v>
      </c>
      <c r="E96" s="861" t="str">
        <f>VLOOKUP(D96,Poeng!$B$10:$R$252,Poeng!E$1,FALSE)</f>
        <v xml:space="preserve">Transport assessment and travel plan </v>
      </c>
      <c r="F96" s="122">
        <f>VLOOKUP(D96,Poeng!$B$10:$AB$252,Poeng!AB$1,FALSE)</f>
        <v>2</v>
      </c>
      <c r="G96" s="43"/>
      <c r="H96" s="123">
        <f>VLOOKUP(D96,Poeng!$B$10:$AE$252,Poeng!AE$1,FALSE)</f>
        <v>0</v>
      </c>
      <c r="I96" s="124" t="str">
        <f>VLOOKUP(D96,Poeng!$B$10:$BE$252,Poeng!BE$1,FALSE)</f>
        <v>N/A</v>
      </c>
      <c r="J96" s="80"/>
      <c r="K96" s="281"/>
      <c r="L96" s="796"/>
      <c r="M96" s="816"/>
      <c r="N96" s="83"/>
      <c r="O96" s="123">
        <f>VLOOKUP(D96,Poeng!$B$10:$BC$252,Poeng!AF$1,FALSE)</f>
        <v>0</v>
      </c>
      <c r="P96" s="123" t="str">
        <f>VLOOKUP(D96,Poeng!$B$10:$BH$252,Poeng!BH$1,FALSE)</f>
        <v>N/A</v>
      </c>
      <c r="Q96" s="744"/>
      <c r="R96" s="745"/>
      <c r="S96" s="738"/>
      <c r="T96" s="319"/>
      <c r="U96" s="83"/>
      <c r="V96" s="123">
        <f>VLOOKUP(D96,Poeng!$B$10:$BC$252,Poeng!AG$1,FALSE)</f>
        <v>0</v>
      </c>
      <c r="W96" s="123" t="str">
        <f>VLOOKUP(D96,Poeng!$B$10:$BK$252,Poeng!BK$1,FALSE)</f>
        <v>N/A</v>
      </c>
      <c r="X96" s="81"/>
      <c r="Y96" s="80"/>
      <c r="Z96" s="738"/>
      <c r="AC96" s="107">
        <f t="shared" si="12"/>
        <v>1</v>
      </c>
      <c r="AD96" s="3" t="e">
        <f>VLOOKUP(K96,'Assessment Details'!$O$45:$P$48,2,FALSE)</f>
        <v>#N/A</v>
      </c>
      <c r="AE96" s="3" t="e">
        <f>VLOOKUP(R96,'Assessment Details'!$O$45:$P$48,2,FALSE)</f>
        <v>#N/A</v>
      </c>
      <c r="AF96" s="3" t="e">
        <f>VLOOKUP(Y96,'Assessment Details'!$O$45:$P$48,2,FALSE)</f>
        <v>#N/A</v>
      </c>
    </row>
    <row r="97" spans="1:52" x14ac:dyDescent="0.25">
      <c r="A97" s="1076">
        <v>88</v>
      </c>
      <c r="B97" s="1077" t="s">
        <v>67</v>
      </c>
      <c r="C97" s="1082" t="str">
        <f t="shared" si="7"/>
        <v>Tra 01</v>
      </c>
      <c r="D97" s="19" t="s">
        <v>761</v>
      </c>
      <c r="E97" s="861" t="str">
        <f>VLOOKUP(D97,Poeng!$B$10:$R$252,Poeng!E$1,FALSE)</f>
        <v xml:space="preserve">Travel plan emissions evaluation </v>
      </c>
      <c r="F97" s="122">
        <f>VLOOKUP(D97,Poeng!$B$10:$AB$252,Poeng!AB$1,FALSE)</f>
        <v>1</v>
      </c>
      <c r="G97" s="43"/>
      <c r="H97" s="123">
        <f>VLOOKUP(D97,Poeng!$B$10:$AE$252,Poeng!AE$1,FALSE)</f>
        <v>0</v>
      </c>
      <c r="I97" s="124" t="str">
        <f>VLOOKUP(D97,Poeng!$B$10:$BE$252,Poeng!BE$1,FALSE)</f>
        <v>Very Good</v>
      </c>
      <c r="J97" s="80"/>
      <c r="K97" s="281"/>
      <c r="L97" s="796"/>
      <c r="M97" s="816"/>
      <c r="N97" s="83"/>
      <c r="O97" s="123">
        <f>VLOOKUP(D97,Poeng!$B$10:$BC$252,Poeng!AF$1,FALSE)</f>
        <v>0</v>
      </c>
      <c r="P97" s="123" t="str">
        <f>VLOOKUP(D97,Poeng!$B$10:$BH$252,Poeng!BH$1,FALSE)</f>
        <v>Very Good</v>
      </c>
      <c r="Q97" s="744"/>
      <c r="R97" s="745"/>
      <c r="S97" s="738"/>
      <c r="T97" s="319"/>
      <c r="U97" s="83"/>
      <c r="V97" s="123">
        <f>VLOOKUP(D97,Poeng!$B$10:$BC$252,Poeng!AG$1,FALSE)</f>
        <v>0</v>
      </c>
      <c r="W97" s="123" t="str">
        <f>VLOOKUP(D97,Poeng!$B$10:$BK$252,Poeng!BK$1,FALSE)</f>
        <v>Very Good</v>
      </c>
      <c r="X97" s="81"/>
      <c r="Y97" s="80"/>
      <c r="Z97" s="738"/>
      <c r="AC97" s="107">
        <f t="shared" si="12"/>
        <v>1</v>
      </c>
      <c r="AD97" s="3" t="e">
        <f>VLOOKUP(K97,'Assessment Details'!$O$45:$P$48,2,FALSE)</f>
        <v>#N/A</v>
      </c>
      <c r="AE97" s="3" t="e">
        <f>VLOOKUP(R97,'Assessment Details'!$O$45:$P$48,2,FALSE)</f>
        <v>#N/A</v>
      </c>
      <c r="AF97" s="3" t="e">
        <f>VLOOKUP(Y97,'Assessment Details'!$O$45:$P$48,2,FALSE)</f>
        <v>#N/A</v>
      </c>
    </row>
    <row r="98" spans="1:52" x14ac:dyDescent="0.25">
      <c r="A98" s="1076">
        <v>89</v>
      </c>
      <c r="B98" s="1077" t="s">
        <v>67</v>
      </c>
      <c r="C98" s="924" t="s">
        <v>148</v>
      </c>
      <c r="D98" s="824" t="s">
        <v>148</v>
      </c>
      <c r="E98" s="860" t="str">
        <f>VLOOKUP(D98,Poeng!$B$10:$R$252,Poeng!E$1,FALSE)</f>
        <v>Tra 02 Sustainable transport measures</v>
      </c>
      <c r="F98" s="865">
        <f>VLOOKUP(D98,Poeng!$B$10:$AB$252,Poeng!AB$1,FALSE)</f>
        <v>10</v>
      </c>
      <c r="G98" s="1001"/>
      <c r="H98" s="866" t="str">
        <f>VLOOKUP(D98,Poeng!$B$10:$AI$252,Poeng!AI$1,FALSE)&amp;" c. "&amp;ROUND(VLOOKUP(D98,Poeng!$B$10:$AE$252,Poeng!AE$1,FALSE)*100,1)&amp;" %"</f>
        <v>0 c. 0 %</v>
      </c>
      <c r="I98" s="924" t="str">
        <f>VLOOKUP(D98,Poeng!$B$10:$BE$252,Poeng!BE$1,FALSE)</f>
        <v>N/A</v>
      </c>
      <c r="J98" s="80"/>
      <c r="K98" s="281"/>
      <c r="L98" s="796"/>
      <c r="M98" s="816"/>
      <c r="N98" s="1001"/>
      <c r="O98" s="877" t="str">
        <f>VLOOKUP(D98,Poeng!$B$10:$BC$252,Poeng!AJ$1,FALSE)&amp;" c. "&amp;ROUND(VLOOKUP(D98,Poeng!$B$10:$BC$252,Poeng!AF$1,FALSE)*100,1)&amp;" %"</f>
        <v>0 c. 0 %</v>
      </c>
      <c r="P98" s="123" t="str">
        <f>VLOOKUP(D98,Poeng!$B$10:$BH$252,Poeng!BH$1,FALSE)</f>
        <v>N/A</v>
      </c>
      <c r="Q98" s="744"/>
      <c r="R98" s="745"/>
      <c r="S98" s="738"/>
      <c r="T98" s="319"/>
      <c r="U98" s="1001"/>
      <c r="V98" s="877" t="str">
        <f>VLOOKUP(D98,Poeng!$B$10:$BC$252,Poeng!AK$1,FALSE)&amp;" c. "&amp;ROUND(VLOOKUP(D98,Poeng!$B$10:$BC$252,Poeng!AG$1,FALSE)*100,1)&amp;" %"</f>
        <v>0 c. 0 %</v>
      </c>
      <c r="W98" s="123" t="str">
        <f>VLOOKUP(D98,Poeng!$B$10:$BK$252,Poeng!BK$1,FALSE)</f>
        <v>N/A</v>
      </c>
      <c r="X98" s="81"/>
      <c r="Y98" s="80"/>
      <c r="Z98" s="738"/>
      <c r="AA98" s="133"/>
      <c r="AB98" s="640" t="s">
        <v>14</v>
      </c>
      <c r="AC98" s="107">
        <f t="shared" si="12"/>
        <v>1</v>
      </c>
      <c r="AD98" s="3" t="e">
        <f>VLOOKUP(K98,'Assessment Details'!$O$45:$P$48,2,FALSE)</f>
        <v>#N/A</v>
      </c>
      <c r="AE98" s="3" t="e">
        <f>VLOOKUP(R98,'Assessment Details'!$O$45:$P$48,2,FALSE)</f>
        <v>#N/A</v>
      </c>
      <c r="AF98" s="3" t="e">
        <f>VLOOKUP(Y98,'Assessment Details'!$O$45:$P$48,2,FALSE)</f>
        <v>#N/A</v>
      </c>
      <c r="AI98" s="70"/>
      <c r="AJ98" s="671" t="s">
        <v>146</v>
      </c>
      <c r="AK98" s="70"/>
      <c r="AL98" s="70"/>
      <c r="AM98" s="70"/>
      <c r="AN98" s="70"/>
      <c r="AO98" s="70"/>
      <c r="AP98" s="70"/>
      <c r="AS98" s="23" t="str">
        <f t="shared" si="13"/>
        <v>N/A</v>
      </c>
      <c r="AT98" s="23" t="str">
        <f t="shared" si="14"/>
        <v>N/A</v>
      </c>
      <c r="AU98" s="23" t="str">
        <f t="shared" si="15"/>
        <v>N/A</v>
      </c>
      <c r="AV98" s="23"/>
      <c r="AW98" s="23"/>
      <c r="AX98" s="23"/>
      <c r="AZ98" s="640"/>
    </row>
    <row r="99" spans="1:52" x14ac:dyDescent="0.25">
      <c r="A99" s="1076">
        <v>90</v>
      </c>
      <c r="B99" s="1077" t="s">
        <v>67</v>
      </c>
      <c r="C99" s="1082" t="str">
        <f t="shared" si="7"/>
        <v>Tra 02</v>
      </c>
      <c r="D99" s="824" t="s">
        <v>762</v>
      </c>
      <c r="E99" s="861" t="str">
        <f>VLOOKUP(D99,Poeng!$B$10:$R$252,Poeng!E$1,FALSE)</f>
        <v>Pre-requisite: transport assessment and travel plan</v>
      </c>
      <c r="F99" s="122" t="str">
        <f>VLOOKUP(D99,Poeng!$B$10:$AB$252,Poeng!AB$1,FALSE)</f>
        <v>Yes/No</v>
      </c>
      <c r="G99" s="43"/>
      <c r="H99" s="123" t="str">
        <f>VLOOKUP(D99,Poeng!$B$10:$AE$252,Poeng!AE$1,FALSE)</f>
        <v>-</v>
      </c>
      <c r="I99" s="124" t="str">
        <f>VLOOKUP(D99,Poeng!$B$10:$BE$252,Poeng!BE$1,FALSE)</f>
        <v>N/A</v>
      </c>
      <c r="J99" s="80"/>
      <c r="K99" s="281"/>
      <c r="L99" s="796"/>
      <c r="M99" s="816"/>
      <c r="N99" s="83"/>
      <c r="O99" s="123" t="str">
        <f>VLOOKUP(D99,Poeng!$B$10:$BC$252,Poeng!AF$1,FALSE)</f>
        <v>-</v>
      </c>
      <c r="P99" s="123" t="str">
        <f>VLOOKUP(D99,Poeng!$B$10:$BH$252,Poeng!BH$1,FALSE)</f>
        <v>N/A</v>
      </c>
      <c r="Q99" s="744"/>
      <c r="R99" s="745"/>
      <c r="S99" s="738"/>
      <c r="T99" s="319"/>
      <c r="U99" s="83"/>
      <c r="V99" s="123" t="str">
        <f>VLOOKUP(D99,Poeng!$B$10:$BC$252,Poeng!AG$1,FALSE)</f>
        <v>-</v>
      </c>
      <c r="W99" s="123" t="str">
        <f>VLOOKUP(D99,Poeng!$B$10:$BK$252,Poeng!BK$1,FALSE)</f>
        <v>N/A</v>
      </c>
      <c r="X99" s="81"/>
      <c r="Y99" s="80"/>
      <c r="Z99" s="738"/>
      <c r="AA99" s="133"/>
      <c r="AB99" s="864"/>
      <c r="AC99" s="107">
        <f t="shared" si="12"/>
        <v>1</v>
      </c>
      <c r="AD99" s="3" t="e">
        <f>VLOOKUP(K99,'Assessment Details'!$O$45:$P$48,2,FALSE)</f>
        <v>#N/A</v>
      </c>
      <c r="AE99" s="3" t="e">
        <f>VLOOKUP(R99,'Assessment Details'!$O$45:$P$48,2,FALSE)</f>
        <v>#N/A</v>
      </c>
      <c r="AF99" s="3" t="e">
        <f>VLOOKUP(Y99,'Assessment Details'!$O$45:$P$48,2,FALSE)</f>
        <v>#N/A</v>
      </c>
      <c r="AI99" s="3"/>
      <c r="AJ99" s="3"/>
      <c r="AK99" s="3"/>
      <c r="AL99" s="3"/>
      <c r="AM99" s="3"/>
      <c r="AN99" s="3"/>
      <c r="AO99" s="3"/>
      <c r="AP99" s="3"/>
      <c r="AS99" s="23"/>
      <c r="AT99" s="23"/>
      <c r="AU99" s="23"/>
      <c r="AV99" s="23"/>
      <c r="AW99" s="23"/>
      <c r="AX99" s="23"/>
      <c r="AZ99" s="864"/>
    </row>
    <row r="100" spans="1:52" x14ac:dyDescent="0.25">
      <c r="A100" s="1076">
        <v>91</v>
      </c>
      <c r="B100" s="1077" t="s">
        <v>67</v>
      </c>
      <c r="C100" s="1082" t="str">
        <f t="shared" si="7"/>
        <v>Tra 02</v>
      </c>
      <c r="D100" s="824" t="s">
        <v>763</v>
      </c>
      <c r="E100" s="861" t="str">
        <f>VLOOKUP(D100,Poeng!$B$10:$R$252,Poeng!E$1,FALSE)</f>
        <v xml:space="preserve">Transport options implementation </v>
      </c>
      <c r="F100" s="122">
        <f>VLOOKUP(D100,Poeng!$B$10:$AB$252,Poeng!AB$1,FALSE)</f>
        <v>10</v>
      </c>
      <c r="G100" s="43"/>
      <c r="H100" s="123">
        <f>VLOOKUP(D100,Poeng!$B$10:$AE$252,Poeng!AE$1,FALSE)</f>
        <v>0</v>
      </c>
      <c r="I100" s="124" t="str">
        <f>VLOOKUP(D100,Poeng!$B$10:$BE$252,Poeng!BE$1,FALSE)</f>
        <v>N/A</v>
      </c>
      <c r="J100" s="80"/>
      <c r="K100" s="281"/>
      <c r="L100" s="796"/>
      <c r="M100" s="816"/>
      <c r="N100" s="83"/>
      <c r="O100" s="123">
        <f>VLOOKUP(D100,Poeng!$B$10:$BC$252,Poeng!AF$1,FALSE)</f>
        <v>0</v>
      </c>
      <c r="P100" s="123" t="str">
        <f>VLOOKUP(D100,Poeng!$B$10:$BH$252,Poeng!BH$1,FALSE)</f>
        <v>N/A</v>
      </c>
      <c r="Q100" s="744"/>
      <c r="R100" s="745"/>
      <c r="S100" s="1095"/>
      <c r="T100" s="319"/>
      <c r="U100" s="83"/>
      <c r="V100" s="123">
        <f>VLOOKUP(D100,Poeng!$B$10:$BC$252,Poeng!AG$1,FALSE)</f>
        <v>0</v>
      </c>
      <c r="W100" s="123" t="str">
        <f>VLOOKUP(D100,Poeng!$B$10:$BK$252,Poeng!BK$1,FALSE)</f>
        <v>N/A</v>
      </c>
      <c r="X100" s="81"/>
      <c r="Y100" s="80"/>
      <c r="Z100" s="1095"/>
      <c r="AA100" s="133"/>
      <c r="AB100" s="714"/>
      <c r="AC100" s="107">
        <f t="shared" si="12"/>
        <v>1</v>
      </c>
      <c r="AD100" s="3" t="e">
        <f>VLOOKUP(K100,'Assessment Details'!$O$45:$P$48,2,FALSE)</f>
        <v>#N/A</v>
      </c>
      <c r="AE100" s="3" t="e">
        <f>VLOOKUP(R100,'Assessment Details'!$O$45:$P$48,2,FALSE)</f>
        <v>#N/A</v>
      </c>
      <c r="AF100" s="3" t="e">
        <f>VLOOKUP(Y100,'Assessment Details'!$O$45:$P$48,2,FALSE)</f>
        <v>#N/A</v>
      </c>
      <c r="AI100" s="70"/>
      <c r="AJ100" s="671"/>
      <c r="AK100" s="70"/>
      <c r="AL100" s="70"/>
      <c r="AM100" s="70"/>
      <c r="AN100" s="70"/>
      <c r="AO100" s="70"/>
      <c r="AP100" s="70"/>
      <c r="AS100" s="23"/>
      <c r="AT100" s="23"/>
      <c r="AU100" s="23"/>
      <c r="AV100" s="23"/>
      <c r="AW100" s="23"/>
      <c r="AX100" s="23"/>
      <c r="AZ100" s="714"/>
    </row>
    <row r="101" spans="1:52" ht="15.75" thickBot="1" x14ac:dyDescent="0.3">
      <c r="A101" s="1076">
        <v>92</v>
      </c>
      <c r="B101" s="1077" t="s">
        <v>67</v>
      </c>
      <c r="C101" s="1083"/>
      <c r="D101" s="824" t="s">
        <v>885</v>
      </c>
      <c r="E101" s="320" t="s">
        <v>106</v>
      </c>
      <c r="F101" s="125">
        <f>Tra_Credits</f>
        <v>13</v>
      </c>
      <c r="G101" s="131"/>
      <c r="H101" s="126">
        <f>Tra_cont_tot</f>
        <v>0</v>
      </c>
      <c r="I101" s="867" t="str">
        <f>"Credits achieved: "&amp;Tra_tot_user</f>
        <v>Credits achieved: 0</v>
      </c>
      <c r="J101" s="134"/>
      <c r="K101" s="282"/>
      <c r="L101" s="746"/>
      <c r="M101" s="816"/>
      <c r="N101" s="383"/>
      <c r="O101" s="126">
        <f>VLOOKUP(D101,Poeng!$B$10:$BC$252,Poeng!AF$1,FALSE)</f>
        <v>0</v>
      </c>
      <c r="P101" s="867" t="str">
        <f>"Credits achieved: "&amp;Tra_d_user</f>
        <v>Credits achieved: 0</v>
      </c>
      <c r="Q101" s="747"/>
      <c r="R101" s="748"/>
      <c r="S101" s="746"/>
      <c r="T101" s="319"/>
      <c r="U101" s="383"/>
      <c r="V101" s="126">
        <f>VLOOKUP(D101,Poeng!$B$10:$BC$252,Poeng!AG$1,FALSE)</f>
        <v>0</v>
      </c>
      <c r="W101" s="867" t="str">
        <f>"Credits achieved: "&amp;Tra_c_user</f>
        <v>Credits achieved: 0</v>
      </c>
      <c r="X101" s="382"/>
      <c r="Y101" s="136"/>
      <c r="Z101" s="746"/>
      <c r="AA101" s="133"/>
      <c r="AB101" s="641"/>
      <c r="AC101" s="107">
        <f t="shared" si="12"/>
        <v>1</v>
      </c>
      <c r="AD101" s="276">
        <v>0</v>
      </c>
      <c r="AE101" s="276">
        <v>0</v>
      </c>
      <c r="AF101" s="276">
        <v>0</v>
      </c>
      <c r="AI101" s="70"/>
      <c r="AJ101" s="671" t="s">
        <v>106</v>
      </c>
      <c r="AK101" s="70"/>
      <c r="AL101" s="70"/>
      <c r="AM101" s="70"/>
      <c r="AN101" s="70"/>
      <c r="AO101" s="70"/>
      <c r="AP101" s="70"/>
      <c r="AS101" s="23" t="str">
        <f t="shared" si="13"/>
        <v>N/A</v>
      </c>
      <c r="AT101" s="23" t="str">
        <f t="shared" si="14"/>
        <v>N/A</v>
      </c>
      <c r="AU101" s="23" t="str">
        <f t="shared" si="15"/>
        <v>N/A</v>
      </c>
      <c r="AV101" s="23"/>
      <c r="AW101" s="23"/>
      <c r="AX101" s="23"/>
      <c r="AZ101" s="641"/>
    </row>
    <row r="102" spans="1:52" x14ac:dyDescent="0.25">
      <c r="A102" s="1076">
        <v>93</v>
      </c>
      <c r="B102" s="1077" t="s">
        <v>67</v>
      </c>
      <c r="C102" s="322"/>
      <c r="D102" s="824"/>
      <c r="E102" s="321"/>
      <c r="F102" s="322"/>
      <c r="G102" s="323"/>
      <c r="H102" s="322"/>
      <c r="I102" s="978"/>
      <c r="J102" s="324"/>
      <c r="K102" s="323"/>
      <c r="L102" s="749"/>
      <c r="M102" s="815"/>
      <c r="N102" s="325"/>
      <c r="O102" s="325"/>
      <c r="P102" s="749"/>
      <c r="Q102" s="749"/>
      <c r="R102" s="750"/>
      <c r="S102" s="1094"/>
      <c r="T102" s="326"/>
      <c r="U102" s="325"/>
      <c r="V102" s="325"/>
      <c r="W102" s="749"/>
      <c r="X102" s="324"/>
      <c r="Y102" s="325"/>
      <c r="Z102" s="1094"/>
      <c r="AA102" s="699"/>
      <c r="AB102" s="324"/>
      <c r="AC102" s="107">
        <f t="shared" si="12"/>
        <v>1</v>
      </c>
      <c r="AD102" s="278">
        <v>0</v>
      </c>
      <c r="AE102" s="278">
        <v>0</v>
      </c>
      <c r="AF102" s="278">
        <v>0</v>
      </c>
      <c r="AI102" s="70"/>
      <c r="AJ102" s="671"/>
      <c r="AK102" s="70"/>
      <c r="AL102" s="70"/>
      <c r="AM102" s="70"/>
      <c r="AN102" s="70"/>
      <c r="AO102" s="70"/>
      <c r="AP102" s="70"/>
      <c r="AS102" s="23" t="str">
        <f t="shared" si="13"/>
        <v>N/A</v>
      </c>
      <c r="AT102" s="23" t="str">
        <f t="shared" si="14"/>
        <v>N/A</v>
      </c>
      <c r="AU102" s="23" t="str">
        <f t="shared" si="15"/>
        <v>N/A</v>
      </c>
      <c r="AV102" s="23"/>
      <c r="AW102" s="23"/>
      <c r="AX102" s="23"/>
      <c r="AZ102" s="324"/>
    </row>
    <row r="103" spans="1:52" ht="18.75" x14ac:dyDescent="0.25">
      <c r="A103" s="1076">
        <v>94</v>
      </c>
      <c r="B103" s="1075" t="s">
        <v>59</v>
      </c>
      <c r="C103" s="1084"/>
      <c r="D103" s="823"/>
      <c r="E103" s="327" t="s">
        <v>54</v>
      </c>
      <c r="F103" s="315"/>
      <c r="G103" s="316"/>
      <c r="H103" s="336"/>
      <c r="I103" s="315"/>
      <c r="J103" s="328"/>
      <c r="K103" s="329"/>
      <c r="L103" s="752"/>
      <c r="M103" s="816"/>
      <c r="N103" s="339"/>
      <c r="O103" s="332"/>
      <c r="P103" s="742"/>
      <c r="Q103" s="753"/>
      <c r="R103" s="754"/>
      <c r="S103" s="755"/>
      <c r="T103" s="319"/>
      <c r="U103" s="339"/>
      <c r="V103" s="338"/>
      <c r="W103" s="742"/>
      <c r="X103" s="328"/>
      <c r="Y103" s="338"/>
      <c r="Z103" s="752"/>
      <c r="AA103" s="133"/>
      <c r="AB103" s="337"/>
      <c r="AC103" s="107">
        <f t="shared" si="12"/>
        <v>1</v>
      </c>
      <c r="AD103" s="275">
        <v>0</v>
      </c>
      <c r="AE103" s="275">
        <v>0</v>
      </c>
      <c r="AF103" s="275">
        <v>0</v>
      </c>
      <c r="AI103" s="70"/>
      <c r="AJ103" s="671" t="s">
        <v>54</v>
      </c>
      <c r="AK103" s="70"/>
      <c r="AL103" s="70"/>
      <c r="AM103" s="70"/>
      <c r="AN103" s="70"/>
      <c r="AO103" s="70"/>
      <c r="AP103" s="70"/>
      <c r="AS103" s="23" t="str">
        <f t="shared" si="13"/>
        <v>N/A</v>
      </c>
      <c r="AT103" s="23" t="str">
        <f t="shared" si="14"/>
        <v>N/A</v>
      </c>
      <c r="AU103" s="23" t="str">
        <f t="shared" si="15"/>
        <v>N/A</v>
      </c>
      <c r="AV103" s="23"/>
      <c r="AW103" s="23"/>
      <c r="AX103" s="23"/>
      <c r="AZ103" s="337"/>
    </row>
    <row r="104" spans="1:52" x14ac:dyDescent="0.25">
      <c r="A104" s="1076">
        <v>95</v>
      </c>
      <c r="B104" s="1075" t="s">
        <v>59</v>
      </c>
      <c r="C104" s="924" t="s">
        <v>169</v>
      </c>
      <c r="D104" s="824" t="s">
        <v>169</v>
      </c>
      <c r="E104" s="860" t="str">
        <f>VLOOKUP(D104,Poeng!$B$10:$R$252,Poeng!E$1,FALSE)</f>
        <v>Wat 01 Water consumption</v>
      </c>
      <c r="F104" s="865">
        <f>VLOOKUP(D104,Poeng!$B$10:$AB$252,Poeng!AB$1,FALSE)</f>
        <v>5</v>
      </c>
      <c r="G104" s="1000"/>
      <c r="H104" s="866" t="str">
        <f>VLOOKUP(D104,Poeng!$B$10:$AI$252,Poeng!AI$1,FALSE)&amp;" c. "&amp;ROUND(VLOOKUP(D104,Poeng!$B$10:$AE$252,Poeng!AE$1,FALSE)*100,1)&amp;" %"</f>
        <v>0 c. 0 %</v>
      </c>
      <c r="I104" s="923" t="str">
        <f>VLOOKUP(D104,Poeng!$B$10:$BE$252,Poeng!BE$1,FALSE)</f>
        <v>N/A</v>
      </c>
      <c r="J104" s="874"/>
      <c r="K104" s="875"/>
      <c r="L104" s="876"/>
      <c r="M104" s="815"/>
      <c r="N104" s="1001"/>
      <c r="O104" s="1093" t="str">
        <f>VLOOKUP(D104,Poeng!$B$10:$BC$252,Poeng!AJ$1,FALSE)&amp;" c. "&amp;ROUND(VLOOKUP(D104,Poeng!$B$10:$BC$252,Poeng!AF$1,FALSE)*100,1)&amp;" %"</f>
        <v>0 c. 0 %</v>
      </c>
      <c r="P104" s="123" t="str">
        <f>VLOOKUP(D104,Poeng!$B$10:$BH$252,Poeng!BH$1,FALSE)</f>
        <v>N/A</v>
      </c>
      <c r="Q104" s="744"/>
      <c r="R104" s="745"/>
      <c r="S104" s="738"/>
      <c r="T104" s="319"/>
      <c r="U104" s="1001"/>
      <c r="V104" s="877" t="str">
        <f>VLOOKUP(D104,Poeng!$B$10:$BC$252,Poeng!AK$1,FALSE)&amp;" c. "&amp;ROUND(VLOOKUP(D104,Poeng!$B$10:$BC$252,Poeng!AG$1,FALSE)*100,1)&amp;" %"</f>
        <v>0 c. 0 %</v>
      </c>
      <c r="W104" s="123" t="str">
        <f>VLOOKUP(D104,Poeng!$B$10:$BK$252,Poeng!BK$1,FALSE)</f>
        <v>N/A</v>
      </c>
      <c r="X104" s="81"/>
      <c r="Y104" s="80"/>
      <c r="Z104" s="738"/>
      <c r="AA104" s="133"/>
      <c r="AB104" s="640" t="s">
        <v>13</v>
      </c>
      <c r="AC104" s="107">
        <f t="shared" si="12"/>
        <v>1</v>
      </c>
      <c r="AD104" s="3" t="e">
        <f>VLOOKUP(K104,'Assessment Details'!$O$45:$P$48,2,FALSE)</f>
        <v>#N/A</v>
      </c>
      <c r="AE104" s="3" t="e">
        <f>VLOOKUP(R104,'Assessment Details'!$O$45:$P$48,2,FALSE)</f>
        <v>#N/A</v>
      </c>
      <c r="AF104" s="3" t="e">
        <f>VLOOKUP(Y104,'Assessment Details'!$O$45:$P$48,2,FALSE)</f>
        <v>#N/A</v>
      </c>
      <c r="AI104" s="70"/>
      <c r="AJ104" s="671" t="s">
        <v>152</v>
      </c>
      <c r="AK104" s="648" t="s">
        <v>406</v>
      </c>
      <c r="AL104" s="648" t="s">
        <v>408</v>
      </c>
      <c r="AM104" s="70"/>
      <c r="AN104" s="70"/>
      <c r="AO104" s="70"/>
      <c r="AP104" s="70"/>
      <c r="AR104" s="1" t="s">
        <v>13</v>
      </c>
      <c r="AS104" s="23" t="str">
        <f t="shared" si="13"/>
        <v>N/A</v>
      </c>
      <c r="AT104" s="23" t="str">
        <f t="shared" si="14"/>
        <v>N/A</v>
      </c>
      <c r="AU104" s="23" t="str">
        <f t="shared" si="15"/>
        <v>N/A</v>
      </c>
      <c r="AV104" s="23"/>
      <c r="AW104" s="23"/>
      <c r="AX104" s="23"/>
      <c r="AZ104" s="640"/>
    </row>
    <row r="105" spans="1:52" x14ac:dyDescent="0.25">
      <c r="A105" s="1076">
        <v>96</v>
      </c>
      <c r="B105" s="1075" t="s">
        <v>59</v>
      </c>
      <c r="C105" s="1082" t="str">
        <f>C104</f>
        <v>Wat 01</v>
      </c>
      <c r="D105" s="824" t="s">
        <v>764</v>
      </c>
      <c r="E105" s="861" t="str">
        <f>VLOOKUP(D105,Poeng!$B$10:$R$258,Poeng!E$1,FALSE)</f>
        <v>Water efficient components</v>
      </c>
      <c r="F105" s="122">
        <f>VLOOKUP(D105,Poeng!$B$10:$AB$258,Poeng!AB$1,FALSE)</f>
        <v>5</v>
      </c>
      <c r="G105" s="43"/>
      <c r="H105" s="123">
        <f>VLOOKUP(D105,Poeng!$B$10:$AE$258,Poeng!AE$1,FALSE)</f>
        <v>0</v>
      </c>
      <c r="I105" s="124" t="str">
        <f>VLOOKUP(D105,Poeng!$B$10:$BE$258,Poeng!BE$1,FALSE)</f>
        <v>Very Good</v>
      </c>
      <c r="J105" s="1119"/>
      <c r="K105" s="1120"/>
      <c r="L105" s="1121"/>
      <c r="M105" s="815"/>
      <c r="N105" s="83"/>
      <c r="O105" s="123">
        <f>VLOOKUP(D105,Poeng!$B$10:$BC$258,Poeng!AF$1,FALSE)</f>
        <v>0</v>
      </c>
      <c r="P105" s="123" t="str">
        <f>VLOOKUP(D105,Poeng!$B$10:$BH$258,Poeng!BH$1,FALSE)</f>
        <v>Very Good</v>
      </c>
      <c r="Q105" s="744"/>
      <c r="R105" s="745"/>
      <c r="S105" s="738"/>
      <c r="T105" s="319"/>
      <c r="U105" s="83"/>
      <c r="V105" s="123">
        <f>VLOOKUP(D105,Poeng!$B$10:$BC$258,Poeng!AG$1,FALSE)</f>
        <v>0</v>
      </c>
      <c r="W105" s="123" t="str">
        <f>VLOOKUP(D105,Poeng!$B$10:$BK$258,Poeng!BK$1,FALSE)</f>
        <v>Very Good</v>
      </c>
      <c r="X105" s="81"/>
      <c r="Y105" s="80"/>
      <c r="Z105" s="738"/>
      <c r="AA105" s="133"/>
      <c r="AB105" s="640"/>
      <c r="AC105" s="107">
        <f t="shared" ref="AC105" si="16">IF(F105="",1,IF(F105=0,2,1))</f>
        <v>1</v>
      </c>
      <c r="AD105" s="3" t="e">
        <f>VLOOKUP(K105,'Assessment Details'!$O$45:$P$48,2,FALSE)</f>
        <v>#N/A</v>
      </c>
      <c r="AE105" s="3" t="e">
        <f>VLOOKUP(R105,'Assessment Details'!$O$45:$P$48,2,FALSE)</f>
        <v>#N/A</v>
      </c>
      <c r="AF105" s="3" t="e">
        <f>VLOOKUP(Y105,'Assessment Details'!$O$45:$P$48,2,FALSE)</f>
        <v>#N/A</v>
      </c>
      <c r="AI105" s="70"/>
      <c r="AJ105" s="671"/>
      <c r="AK105" s="648"/>
      <c r="AL105" s="648"/>
      <c r="AM105" s="70"/>
      <c r="AN105" s="70"/>
      <c r="AO105" s="70"/>
      <c r="AP105" s="70"/>
      <c r="AS105" s="23"/>
      <c r="AT105" s="23"/>
      <c r="AU105" s="23"/>
      <c r="AV105" s="23"/>
      <c r="AW105" s="23"/>
      <c r="AX105" s="23"/>
      <c r="AZ105" s="640"/>
    </row>
    <row r="106" spans="1:52" x14ac:dyDescent="0.25">
      <c r="A106" s="1076">
        <v>97</v>
      </c>
      <c r="B106" s="1075" t="s">
        <v>59</v>
      </c>
      <c r="C106" s="1082" t="str">
        <f>C104</f>
        <v>Wat 01</v>
      </c>
      <c r="D106" s="824" t="s">
        <v>1020</v>
      </c>
      <c r="E106" s="1255" t="str">
        <f>VLOOKUP(D106,Poeng!$B$10:$R$258,Poeng!E$1,FALSE)</f>
        <v>EU taxonomy requirements: criterion 2</v>
      </c>
      <c r="F106" s="122" t="str">
        <f>VLOOKUP(D106,Poeng!$B$10:$AB$258,Poeng!AB$1,FALSE)</f>
        <v>Yes/No</v>
      </c>
      <c r="G106" s="43"/>
      <c r="H106" s="123" t="str">
        <f>VLOOKUP(D106,Poeng!$B$10:$AE$258,Poeng!AE$1,FALSE)</f>
        <v>-</v>
      </c>
      <c r="I106" s="124" t="str">
        <f>VLOOKUP(D106,Poeng!$B$10:$BE$258,Poeng!BE$1,FALSE)</f>
        <v>N/A</v>
      </c>
      <c r="J106" s="80"/>
      <c r="K106" s="281"/>
      <c r="L106" s="796"/>
      <c r="M106" s="816"/>
      <c r="N106" s="83"/>
      <c r="O106" s="123" t="str">
        <f>VLOOKUP(D106,Poeng!$B$10:$BC$258,Poeng!AF$1,FALSE)</f>
        <v>-</v>
      </c>
      <c r="P106" s="123" t="str">
        <f>VLOOKUP(D106,Poeng!$B$10:$BH$258,Poeng!BH$1,FALSE)</f>
        <v>N/A</v>
      </c>
      <c r="Q106" s="744"/>
      <c r="R106" s="745"/>
      <c r="S106" s="738"/>
      <c r="T106" s="319"/>
      <c r="U106" s="83"/>
      <c r="V106" s="123" t="str">
        <f>VLOOKUP(D106,Poeng!$B$10:$BC$258,Poeng!AG$1,FALSE)</f>
        <v>-</v>
      </c>
      <c r="W106" s="123" t="str">
        <f>VLOOKUP(D106,Poeng!$B$10:$BK$258,Poeng!BK$1,FALSE)</f>
        <v>N/A</v>
      </c>
      <c r="X106" s="81"/>
      <c r="Y106" s="80"/>
      <c r="Z106" s="1095"/>
      <c r="AA106" s="133"/>
      <c r="AB106" s="640"/>
      <c r="AC106" s="107">
        <f t="shared" si="12"/>
        <v>1</v>
      </c>
      <c r="AD106" s="3" t="e">
        <f>VLOOKUP(K106,'Assessment Details'!$O$45:$P$48,2,FALSE)</f>
        <v>#N/A</v>
      </c>
      <c r="AE106" s="3" t="e">
        <f>VLOOKUP(R106,'Assessment Details'!$O$45:$P$48,2,FALSE)</f>
        <v>#N/A</v>
      </c>
      <c r="AF106" s="3" t="e">
        <f>VLOOKUP(Y106,'Assessment Details'!$O$45:$P$48,2,FALSE)</f>
        <v>#N/A</v>
      </c>
      <c r="AI106" s="70"/>
      <c r="AJ106" s="671"/>
      <c r="AK106" s="648"/>
      <c r="AL106" s="648"/>
      <c r="AM106" s="70"/>
      <c r="AN106" s="70"/>
      <c r="AO106" s="70"/>
      <c r="AP106" s="70"/>
      <c r="AS106" s="23"/>
      <c r="AT106" s="23"/>
      <c r="AU106" s="23"/>
      <c r="AV106" s="23"/>
      <c r="AW106" s="23"/>
      <c r="AX106" s="23"/>
      <c r="AZ106" s="640"/>
    </row>
    <row r="107" spans="1:52" x14ac:dyDescent="0.25">
      <c r="A107" s="1076">
        <v>98</v>
      </c>
      <c r="B107" s="1075" t="s">
        <v>59</v>
      </c>
      <c r="C107" s="924" t="s">
        <v>170</v>
      </c>
      <c r="D107" s="824" t="s">
        <v>170</v>
      </c>
      <c r="E107" s="860" t="str">
        <f>VLOOKUP(D107,Poeng!$B$10:$R$252,Poeng!E$1,FALSE)</f>
        <v>Wat 02 Water monitoring</v>
      </c>
      <c r="F107" s="865">
        <f>VLOOKUP(D107,Poeng!$B$10:$AB$252,Poeng!AB$1,FALSE)</f>
        <v>1</v>
      </c>
      <c r="G107" s="1001"/>
      <c r="H107" s="866" t="str">
        <f>VLOOKUP(D107,Poeng!$B$10:$AI$252,Poeng!AI$1,FALSE)&amp;" c. "&amp;ROUND(VLOOKUP(D107,Poeng!$B$10:$AE$252,Poeng!AE$1,FALSE)*100,1)&amp;" %"</f>
        <v>0 c. 0 %</v>
      </c>
      <c r="I107" s="924" t="str">
        <f>VLOOKUP(D107,Poeng!$B$10:$BE$252,Poeng!BE$1,FALSE)</f>
        <v>N/A</v>
      </c>
      <c r="J107" s="80"/>
      <c r="K107" s="281"/>
      <c r="L107" s="796"/>
      <c r="M107" s="816"/>
      <c r="N107" s="1001"/>
      <c r="O107" s="877" t="str">
        <f>VLOOKUP(D107,Poeng!$B$10:$BC$252,Poeng!AJ$1,FALSE)&amp;" c. "&amp;ROUND(VLOOKUP(D107,Poeng!$B$10:$BC$252,Poeng!AF$1,FALSE)*100,1)&amp;" %"</f>
        <v>0 c. 0 %</v>
      </c>
      <c r="P107" s="123" t="str">
        <f>VLOOKUP(D107,Poeng!$B$10:$BH$252,Poeng!BH$1,FALSE)</f>
        <v>N/A</v>
      </c>
      <c r="Q107" s="744"/>
      <c r="R107" s="745"/>
      <c r="S107" s="738"/>
      <c r="T107" s="319"/>
      <c r="U107" s="1001"/>
      <c r="V107" s="877" t="str">
        <f>VLOOKUP(D107,Poeng!$B$10:$BC$252,Poeng!AK$1,FALSE)&amp;" c. "&amp;ROUND(VLOOKUP(D107,Poeng!$B$10:$BC$252,Poeng!AG$1,FALSE)*100,1)&amp;" %"</f>
        <v>0 c. 0 %</v>
      </c>
      <c r="W107" s="123" t="str">
        <f>VLOOKUP(D107,Poeng!$B$10:$BK$252,Poeng!BK$1,FALSE)</f>
        <v>N/A</v>
      </c>
      <c r="X107" s="81"/>
      <c r="Y107" s="80"/>
      <c r="Z107" s="738"/>
      <c r="AA107" s="133"/>
      <c r="AB107" s="640" t="s">
        <v>13</v>
      </c>
      <c r="AC107" s="107">
        <f t="shared" si="12"/>
        <v>1</v>
      </c>
      <c r="AD107" s="3" t="e">
        <f>VLOOKUP(K107,'Assessment Details'!$O$45:$P$48,2,FALSE)</f>
        <v>#N/A</v>
      </c>
      <c r="AE107" s="3" t="e">
        <f>VLOOKUP(R107,'Assessment Details'!$O$45:$P$48,2,FALSE)</f>
        <v>#N/A</v>
      </c>
      <c r="AF107" s="3" t="e">
        <f>VLOOKUP(Y107,'Assessment Details'!$O$45:$P$48,2,FALSE)</f>
        <v>#N/A</v>
      </c>
      <c r="AI107" s="70" t="str">
        <f>ais_ja</f>
        <v>Ja</v>
      </c>
      <c r="AJ107" s="671" t="s">
        <v>153</v>
      </c>
      <c r="AK107" s="648" t="s">
        <v>406</v>
      </c>
      <c r="AL107" s="648" t="s">
        <v>410</v>
      </c>
      <c r="AM107" s="648" t="s">
        <v>408</v>
      </c>
      <c r="AN107" s="70"/>
      <c r="AO107" s="70"/>
      <c r="AP107" s="70"/>
      <c r="AR107" s="1" t="s">
        <v>13</v>
      </c>
      <c r="AS107" s="23" t="str">
        <f t="shared" si="13"/>
        <v>N/A</v>
      </c>
      <c r="AT107" s="23" t="str">
        <f t="shared" si="14"/>
        <v>N/A</v>
      </c>
      <c r="AU107" s="23" t="str">
        <f t="shared" si="15"/>
        <v>N/A</v>
      </c>
      <c r="AV107" s="23"/>
      <c r="AW107" s="23"/>
      <c r="AX107" s="23"/>
      <c r="AZ107" s="640"/>
    </row>
    <row r="108" spans="1:52" x14ac:dyDescent="0.25">
      <c r="A108" s="1076">
        <v>99</v>
      </c>
      <c r="B108" s="1075" t="s">
        <v>59</v>
      </c>
      <c r="C108" s="1082" t="str">
        <f t="shared" ref="C108" si="17">C107</f>
        <v>Wat 02</v>
      </c>
      <c r="D108" s="824" t="s">
        <v>765</v>
      </c>
      <c r="E108" s="861" t="str">
        <f>VLOOKUP(D108,Poeng!$B$10:$R$252,Poeng!E$1,FALSE)</f>
        <v>Water meter</v>
      </c>
      <c r="F108" s="122">
        <f>VLOOKUP(D108,Poeng!$B$10:$AB$252,Poeng!AB$1,FALSE)</f>
        <v>1</v>
      </c>
      <c r="G108" s="43"/>
      <c r="H108" s="123">
        <f>VLOOKUP(D108,Poeng!$B$10:$AE$252,Poeng!AE$1,FALSE)</f>
        <v>0</v>
      </c>
      <c r="I108" s="124" t="str">
        <f>VLOOKUP(D108,Poeng!$B$10:$BE$252,Poeng!BE$1,FALSE)</f>
        <v>N/A</v>
      </c>
      <c r="J108" s="80"/>
      <c r="K108" s="281"/>
      <c r="L108" s="796"/>
      <c r="M108" s="816"/>
      <c r="N108" s="83"/>
      <c r="O108" s="123">
        <f>VLOOKUP(D108,Poeng!$B$10:$BC$252,Poeng!AF$1,FALSE)</f>
        <v>0</v>
      </c>
      <c r="P108" s="123" t="str">
        <f>VLOOKUP(D108,Poeng!$B$10:$BH$252,Poeng!BH$1,FALSE)</f>
        <v>N/A</v>
      </c>
      <c r="Q108" s="744"/>
      <c r="R108" s="745"/>
      <c r="S108" s="738"/>
      <c r="T108" s="319"/>
      <c r="U108" s="83"/>
      <c r="V108" s="123">
        <f>VLOOKUP(D108,Poeng!$B$10:$BC$252,Poeng!AG$1,FALSE)</f>
        <v>0</v>
      </c>
      <c r="W108" s="123" t="str">
        <f>VLOOKUP(D108,Poeng!$B$10:$BK$252,Poeng!BK$1,FALSE)</f>
        <v>N/A</v>
      </c>
      <c r="X108" s="81"/>
      <c r="Y108" s="80"/>
      <c r="Z108" s="738"/>
      <c r="AA108" s="133"/>
      <c r="AB108" s="640"/>
      <c r="AC108" s="107">
        <f t="shared" si="12"/>
        <v>1</v>
      </c>
      <c r="AD108" s="3" t="e">
        <f>VLOOKUP(K108,'Assessment Details'!$O$45:$P$48,2,FALSE)</f>
        <v>#N/A</v>
      </c>
      <c r="AE108" s="3" t="e">
        <f>VLOOKUP(R108,'Assessment Details'!$O$45:$P$48,2,FALSE)</f>
        <v>#N/A</v>
      </c>
      <c r="AF108" s="3" t="e">
        <f>VLOOKUP(Y108,'Assessment Details'!$O$45:$P$48,2,FALSE)</f>
        <v>#N/A</v>
      </c>
      <c r="AI108" s="70"/>
      <c r="AJ108" s="671"/>
      <c r="AK108" s="727"/>
      <c r="AL108" s="727"/>
      <c r="AM108" s="727"/>
      <c r="AN108" s="3"/>
      <c r="AO108" s="70"/>
      <c r="AP108" s="70"/>
      <c r="AS108" s="23"/>
      <c r="AT108" s="23"/>
      <c r="AU108" s="23"/>
      <c r="AV108" s="23"/>
      <c r="AW108" s="23"/>
      <c r="AX108" s="23"/>
      <c r="AZ108" s="640"/>
    </row>
    <row r="109" spans="1:52" x14ac:dyDescent="0.25">
      <c r="A109" s="1076">
        <v>100</v>
      </c>
      <c r="B109" s="1075" t="s">
        <v>59</v>
      </c>
      <c r="C109" s="924" t="s">
        <v>171</v>
      </c>
      <c r="D109" s="824" t="s">
        <v>171</v>
      </c>
      <c r="E109" s="860" t="str">
        <f>VLOOKUP(D109,Poeng!$B$10:$R$252,Poeng!E$1,FALSE)</f>
        <v>Wat 03 Water leak detection and prevention</v>
      </c>
      <c r="F109" s="865">
        <f>VLOOKUP(D109,Poeng!$B$10:$AB$252,Poeng!AB$1,FALSE)</f>
        <v>2</v>
      </c>
      <c r="G109" s="1001"/>
      <c r="H109" s="866" t="str">
        <f>VLOOKUP(D109,Poeng!$B$10:$AI$252,Poeng!AI$1,FALSE)&amp;" c. "&amp;ROUND(VLOOKUP(D109,Poeng!$B$10:$AE$252,Poeng!AE$1,FALSE)*100,1)&amp;" %"</f>
        <v>0 c. 0 %</v>
      </c>
      <c r="I109" s="924" t="str">
        <f>VLOOKUP(D109,Poeng!$B$10:$BE$252,Poeng!BE$1,FALSE)</f>
        <v>N/A</v>
      </c>
      <c r="J109" s="80"/>
      <c r="K109" s="281"/>
      <c r="L109" s="796"/>
      <c r="M109" s="816"/>
      <c r="N109" s="1001"/>
      <c r="O109" s="877" t="str">
        <f>VLOOKUP(D109,Poeng!$B$10:$BC$252,Poeng!AJ$1,FALSE)&amp;" c. "&amp;ROUND(VLOOKUP(D109,Poeng!$B$10:$BC$252,Poeng!AF$1,FALSE)*100,1)&amp;" %"</f>
        <v>0 c. 0 %</v>
      </c>
      <c r="P109" s="123" t="str">
        <f>VLOOKUP(D109,Poeng!$B$10:$BH$252,Poeng!BH$1,FALSE)</f>
        <v>N/A</v>
      </c>
      <c r="Q109" s="744"/>
      <c r="R109" s="745"/>
      <c r="S109" s="738"/>
      <c r="T109" s="319"/>
      <c r="U109" s="1001"/>
      <c r="V109" s="877" t="str">
        <f>VLOOKUP(D109,Poeng!$B$10:$BC$252,Poeng!AK$1,FALSE)&amp;" c. "&amp;ROUND(VLOOKUP(D109,Poeng!$B$10:$BC$252,Poeng!AG$1,FALSE)*100,1)&amp;" %"</f>
        <v>0 c. 0 %</v>
      </c>
      <c r="W109" s="123" t="str">
        <f>VLOOKUP(D109,Poeng!$B$10:$BK$252,Poeng!BK$1,FALSE)</f>
        <v>N/A</v>
      </c>
      <c r="X109" s="81"/>
      <c r="Y109" s="80"/>
      <c r="Z109" s="738"/>
      <c r="AA109" s="133"/>
      <c r="AB109" s="640" t="s">
        <v>13</v>
      </c>
      <c r="AC109" s="107">
        <f t="shared" si="12"/>
        <v>1</v>
      </c>
      <c r="AD109" s="3" t="e">
        <f>VLOOKUP(K109,'Assessment Details'!$O$45:$P$48,2,FALSE)</f>
        <v>#N/A</v>
      </c>
      <c r="AE109" s="3" t="e">
        <f>VLOOKUP(R109,'Assessment Details'!$O$45:$P$48,2,FALSE)</f>
        <v>#N/A</v>
      </c>
      <c r="AF109" s="3" t="e">
        <f>VLOOKUP(Y109,'Assessment Details'!$O$45:$P$48,2,FALSE)</f>
        <v>#N/A</v>
      </c>
      <c r="AI109" s="70" t="str">
        <f>ais_ja</f>
        <v>Ja</v>
      </c>
      <c r="AJ109" s="671" t="s">
        <v>154</v>
      </c>
      <c r="AK109" s="653" t="s">
        <v>449</v>
      </c>
      <c r="AL109" s="653" t="s">
        <v>448</v>
      </c>
      <c r="AM109" s="653" t="s">
        <v>450</v>
      </c>
      <c r="AN109" s="653" t="s">
        <v>440</v>
      </c>
      <c r="AO109" s="70"/>
      <c r="AP109" s="70"/>
      <c r="AR109" s="1" t="s">
        <v>13</v>
      </c>
      <c r="AS109" s="23" t="str">
        <f t="shared" si="13"/>
        <v>N/A</v>
      </c>
      <c r="AT109" s="23" t="str">
        <f t="shared" si="14"/>
        <v>N/A</v>
      </c>
      <c r="AU109" s="23" t="str">
        <f t="shared" si="15"/>
        <v>N/A</v>
      </c>
      <c r="AV109" s="23" t="str">
        <f t="shared" si="15"/>
        <v>N/A</v>
      </c>
      <c r="AW109" s="23"/>
      <c r="AX109" s="23"/>
      <c r="AZ109" s="640"/>
    </row>
    <row r="110" spans="1:52" x14ac:dyDescent="0.25">
      <c r="A110" s="1076">
        <v>101</v>
      </c>
      <c r="B110" s="1075" t="s">
        <v>59</v>
      </c>
      <c r="C110" s="1082" t="str">
        <f t="shared" ref="C110:C112" si="18">C109</f>
        <v>Wat 03</v>
      </c>
      <c r="D110" s="824" t="s">
        <v>766</v>
      </c>
      <c r="E110" s="861" t="str">
        <f>VLOOKUP(D110,Poeng!$B$10:$R$252,Poeng!E$1,FALSE)</f>
        <v>Leak detection system</v>
      </c>
      <c r="F110" s="122">
        <f>VLOOKUP(D110,Poeng!$B$10:$AB$252,Poeng!AB$1,FALSE)</f>
        <v>1</v>
      </c>
      <c r="G110" s="43"/>
      <c r="H110" s="123">
        <f>VLOOKUP(D110,Poeng!$B$10:$AE$252,Poeng!AE$1,FALSE)</f>
        <v>0</v>
      </c>
      <c r="I110" s="124" t="str">
        <f>VLOOKUP(D110,Poeng!$B$10:$BE$252,Poeng!BE$1,FALSE)</f>
        <v>N/A</v>
      </c>
      <c r="J110" s="80"/>
      <c r="K110" s="281"/>
      <c r="L110" s="796"/>
      <c r="M110" s="816"/>
      <c r="N110" s="83"/>
      <c r="O110" s="123">
        <f>VLOOKUP(D110,Poeng!$B$10:$BC$252,Poeng!AF$1,FALSE)</f>
        <v>0</v>
      </c>
      <c r="P110" s="123" t="str">
        <f>VLOOKUP(D110,Poeng!$B$10:$BH$252,Poeng!BH$1,FALSE)</f>
        <v>N/A</v>
      </c>
      <c r="Q110" s="744"/>
      <c r="R110" s="745"/>
      <c r="S110" s="738"/>
      <c r="T110" s="319"/>
      <c r="U110" s="83"/>
      <c r="V110" s="123">
        <f>VLOOKUP(D110,Poeng!$B$10:$BC$252,Poeng!AG$1,FALSE)</f>
        <v>0</v>
      </c>
      <c r="W110" s="123" t="str">
        <f>VLOOKUP(D110,Poeng!$B$10:$BK$252,Poeng!BK$1,FALSE)</f>
        <v>N/A</v>
      </c>
      <c r="X110" s="81"/>
      <c r="Y110" s="80"/>
      <c r="Z110" s="738"/>
      <c r="AA110" s="133"/>
      <c r="AB110" s="640"/>
      <c r="AC110" s="107">
        <f t="shared" si="12"/>
        <v>1</v>
      </c>
      <c r="AD110" s="3" t="e">
        <f>VLOOKUP(K110,'Assessment Details'!$O$45:$P$48,2,FALSE)</f>
        <v>#N/A</v>
      </c>
      <c r="AE110" s="3" t="e">
        <f>VLOOKUP(R110,'Assessment Details'!$O$45:$P$48,2,FALSE)</f>
        <v>#N/A</v>
      </c>
      <c r="AF110" s="3" t="e">
        <f>VLOOKUP(Y110,'Assessment Details'!$O$45:$P$48,2,FALSE)</f>
        <v>#N/A</v>
      </c>
      <c r="AI110" s="70"/>
      <c r="AJ110" s="671"/>
      <c r="AK110" s="653"/>
      <c r="AL110" s="653"/>
      <c r="AM110" s="653"/>
      <c r="AN110" s="653"/>
      <c r="AO110" s="70"/>
      <c r="AP110" s="70"/>
      <c r="AS110" s="23"/>
      <c r="AT110" s="23"/>
      <c r="AU110" s="23"/>
      <c r="AV110" s="23"/>
      <c r="AW110" s="23"/>
      <c r="AX110" s="23"/>
      <c r="AZ110" s="640"/>
    </row>
    <row r="111" spans="1:52" x14ac:dyDescent="0.25">
      <c r="A111" s="1076">
        <v>102</v>
      </c>
      <c r="B111" s="1075" t="s">
        <v>59</v>
      </c>
      <c r="C111" s="1082" t="str">
        <f t="shared" si="18"/>
        <v>Wat 03</v>
      </c>
      <c r="D111" s="824" t="s">
        <v>767</v>
      </c>
      <c r="E111" s="861" t="str">
        <f>VLOOKUP(D111,Poeng!$B$10:$R$252,Poeng!E$1,FALSE)</f>
        <v>Flow control devices</v>
      </c>
      <c r="F111" s="122">
        <f>VLOOKUP(D111,Poeng!$B$10:$AB$252,Poeng!AB$1,FALSE)</f>
        <v>1</v>
      </c>
      <c r="G111" s="43"/>
      <c r="H111" s="123">
        <f>VLOOKUP(D111,Poeng!$B$10:$AE$252,Poeng!AE$1,FALSE)</f>
        <v>0</v>
      </c>
      <c r="I111" s="124" t="str">
        <f>VLOOKUP(D111,Poeng!$B$10:$BE$252,Poeng!BE$1,FALSE)</f>
        <v>N/A</v>
      </c>
      <c r="J111" s="80"/>
      <c r="K111" s="281"/>
      <c r="L111" s="796"/>
      <c r="M111" s="816"/>
      <c r="N111" s="83"/>
      <c r="O111" s="123">
        <f>VLOOKUP(D111,Poeng!$B$10:$BC$252,Poeng!AF$1,FALSE)</f>
        <v>0</v>
      </c>
      <c r="P111" s="123" t="str">
        <f>VLOOKUP(D111,Poeng!$B$10:$BH$252,Poeng!BH$1,FALSE)</f>
        <v>N/A</v>
      </c>
      <c r="Q111" s="744"/>
      <c r="R111" s="745"/>
      <c r="S111" s="738"/>
      <c r="T111" s="319"/>
      <c r="U111" s="83"/>
      <c r="V111" s="123">
        <f>VLOOKUP(D111,Poeng!$B$10:$BC$252,Poeng!AG$1,FALSE)</f>
        <v>0</v>
      </c>
      <c r="W111" s="123" t="str">
        <f>VLOOKUP(D111,Poeng!$B$10:$BK$252,Poeng!BK$1,FALSE)</f>
        <v>N/A</v>
      </c>
      <c r="X111" s="81"/>
      <c r="Y111" s="80"/>
      <c r="Z111" s="738"/>
      <c r="AA111" s="133"/>
      <c r="AB111" s="640"/>
      <c r="AC111" s="107">
        <f t="shared" si="12"/>
        <v>1</v>
      </c>
      <c r="AD111" s="3" t="e">
        <f>VLOOKUP(K111,'Assessment Details'!$O$45:$P$48,2,FALSE)</f>
        <v>#N/A</v>
      </c>
      <c r="AE111" s="3" t="e">
        <f>VLOOKUP(R111,'Assessment Details'!$O$45:$P$48,2,FALSE)</f>
        <v>#N/A</v>
      </c>
      <c r="AF111" s="3" t="e">
        <f>VLOOKUP(Y111,'Assessment Details'!$O$45:$P$48,2,FALSE)</f>
        <v>#N/A</v>
      </c>
      <c r="AI111" s="70"/>
      <c r="AJ111" s="671"/>
      <c r="AK111" s="653"/>
      <c r="AL111" s="653"/>
      <c r="AM111" s="653"/>
      <c r="AN111" s="653"/>
      <c r="AO111" s="70"/>
      <c r="AP111" s="70"/>
      <c r="AS111" s="23"/>
      <c r="AT111" s="23"/>
      <c r="AU111" s="23"/>
      <c r="AV111" s="23"/>
      <c r="AW111" s="23"/>
      <c r="AX111" s="23"/>
      <c r="AZ111" s="640"/>
    </row>
    <row r="112" spans="1:52" x14ac:dyDescent="0.25">
      <c r="A112" s="1076">
        <v>103</v>
      </c>
      <c r="B112" s="1075" t="s">
        <v>59</v>
      </c>
      <c r="C112" s="1082" t="str">
        <f t="shared" si="18"/>
        <v>Wat 03</v>
      </c>
      <c r="D112" s="824" t="s">
        <v>768</v>
      </c>
      <c r="E112" s="861" t="str">
        <f>VLOOKUP(D112,Poeng!$B$10:$R$252,Poeng!E$1,FALSE)</f>
        <v>Leak isolation</v>
      </c>
      <c r="F112" s="122">
        <f>VLOOKUP(D112,Poeng!$B$10:$AB$252,Poeng!AB$1,FALSE)</f>
        <v>0</v>
      </c>
      <c r="G112" s="43"/>
      <c r="H112" s="123">
        <f>VLOOKUP(D112,Poeng!$B$10:$AE$252,Poeng!AE$1,FALSE)</f>
        <v>0</v>
      </c>
      <c r="I112" s="124" t="str">
        <f>VLOOKUP(D112,Poeng!$B$10:$BE$252,Poeng!BE$1,FALSE)</f>
        <v>N/A</v>
      </c>
      <c r="J112" s="80"/>
      <c r="K112" s="281"/>
      <c r="L112" s="796"/>
      <c r="M112" s="816"/>
      <c r="N112" s="83"/>
      <c r="O112" s="123">
        <f>VLOOKUP(D112,Poeng!$B$10:$BC$252,Poeng!AF$1,FALSE)</f>
        <v>0</v>
      </c>
      <c r="P112" s="123" t="str">
        <f>VLOOKUP(D112,Poeng!$B$10:$BH$252,Poeng!BH$1,FALSE)</f>
        <v>N/A</v>
      </c>
      <c r="Q112" s="744"/>
      <c r="R112" s="745"/>
      <c r="S112" s="738"/>
      <c r="T112" s="319"/>
      <c r="U112" s="83"/>
      <c r="V112" s="123">
        <f>VLOOKUP(D112,Poeng!$B$10:$BC$252,Poeng!AG$1,FALSE)</f>
        <v>0</v>
      </c>
      <c r="W112" s="123" t="str">
        <f>VLOOKUP(D112,Poeng!$B$10:$BK$252,Poeng!BK$1,FALSE)</f>
        <v>N/A</v>
      </c>
      <c r="X112" s="81"/>
      <c r="Y112" s="80"/>
      <c r="Z112" s="1095"/>
      <c r="AA112" s="133"/>
      <c r="AB112" s="640"/>
      <c r="AC112" s="107">
        <f t="shared" si="12"/>
        <v>2</v>
      </c>
      <c r="AD112" s="3" t="e">
        <f>VLOOKUP(K112,'Assessment Details'!$O$45:$P$48,2,FALSE)</f>
        <v>#N/A</v>
      </c>
      <c r="AE112" s="3" t="e">
        <f>VLOOKUP(R112,'Assessment Details'!$O$45:$P$48,2,FALSE)</f>
        <v>#N/A</v>
      </c>
      <c r="AF112" s="3" t="e">
        <f>VLOOKUP(Y112,'Assessment Details'!$O$45:$P$48,2,FALSE)</f>
        <v>#N/A</v>
      </c>
      <c r="AI112" s="70"/>
      <c r="AJ112" s="671"/>
      <c r="AK112" s="653"/>
      <c r="AL112" s="653"/>
      <c r="AM112" s="653"/>
      <c r="AN112" s="653"/>
      <c r="AO112" s="70"/>
      <c r="AP112" s="70"/>
      <c r="AS112" s="23"/>
      <c r="AT112" s="23"/>
      <c r="AU112" s="23"/>
      <c r="AV112" s="23"/>
      <c r="AW112" s="23"/>
      <c r="AX112" s="23"/>
      <c r="AZ112" s="640"/>
    </row>
    <row r="113" spans="1:52" x14ac:dyDescent="0.25">
      <c r="A113" s="1076">
        <v>104</v>
      </c>
      <c r="B113" s="1075" t="s">
        <v>59</v>
      </c>
      <c r="C113" s="924" t="s">
        <v>172</v>
      </c>
      <c r="D113" s="824" t="s">
        <v>172</v>
      </c>
      <c r="E113" s="860" t="str">
        <f>VLOOKUP(D113,Poeng!$B$10:$R$252,Poeng!E$1,FALSE)</f>
        <v>Wat 04 Water efficient equipment</v>
      </c>
      <c r="F113" s="865">
        <f>VLOOKUP(D113,Poeng!$B$10:$AB$252,Poeng!AB$1,FALSE)</f>
        <v>1</v>
      </c>
      <c r="G113" s="1001"/>
      <c r="H113" s="866" t="str">
        <f>VLOOKUP(D113,Poeng!$B$10:$AI$252,Poeng!AI$1,FALSE)&amp;" c. "&amp;ROUND(VLOOKUP(D113,Poeng!$B$10:$AE$252,Poeng!AE$1,FALSE)*100,1)&amp;" %"</f>
        <v>0 c. 0 %</v>
      </c>
      <c r="I113" s="924" t="str">
        <f>VLOOKUP(D113,Poeng!$B$10:$BE$252,Poeng!BE$1,FALSE)</f>
        <v>N/A</v>
      </c>
      <c r="J113" s="80"/>
      <c r="K113" s="281"/>
      <c r="L113" s="796"/>
      <c r="M113" s="816"/>
      <c r="N113" s="1001"/>
      <c r="O113" s="877" t="str">
        <f>VLOOKUP(D113,Poeng!$B$10:$BC$252,Poeng!AJ$1,FALSE)&amp;" c. "&amp;ROUND(VLOOKUP(D113,Poeng!$B$10:$BC$252,Poeng!AF$1,FALSE)*100,1)&amp;" %"</f>
        <v>0 c. 0 %</v>
      </c>
      <c r="P113" s="123" t="str">
        <f>VLOOKUP(D113,Poeng!$B$10:$BH$252,Poeng!BH$1,FALSE)</f>
        <v>N/A</v>
      </c>
      <c r="Q113" s="744"/>
      <c r="R113" s="745"/>
      <c r="S113" s="738"/>
      <c r="T113" s="319"/>
      <c r="U113" s="1001"/>
      <c r="V113" s="877" t="str">
        <f>VLOOKUP(D113,Poeng!$B$10:$BC$252,Poeng!AK$1,FALSE)&amp;" c. "&amp;ROUND(VLOOKUP(D113,Poeng!$B$10:$BC$252,Poeng!AG$1,FALSE)*100,1)&amp;" %"</f>
        <v>0 c. 0 %</v>
      </c>
      <c r="W113" s="123" t="str">
        <f>VLOOKUP(D113,Poeng!$B$10:$BK$252,Poeng!BK$1,FALSE)</f>
        <v>N/A</v>
      </c>
      <c r="X113" s="81"/>
      <c r="Y113" s="80"/>
      <c r="Z113" s="738"/>
      <c r="AA113" s="133"/>
      <c r="AB113" s="640" t="s">
        <v>14</v>
      </c>
      <c r="AC113" s="107">
        <f t="shared" si="12"/>
        <v>1</v>
      </c>
      <c r="AD113" s="3" t="e">
        <f>VLOOKUP(K113,'Assessment Details'!$O$45:$P$48,2,FALSE)</f>
        <v>#N/A</v>
      </c>
      <c r="AE113" s="3" t="e">
        <f>VLOOKUP(R113,'Assessment Details'!$O$45:$P$48,2,FALSE)</f>
        <v>#N/A</v>
      </c>
      <c r="AF113" s="3" t="e">
        <f>VLOOKUP(Y113,'Assessment Details'!$O$45:$P$48,2,FALSE)</f>
        <v>#N/A</v>
      </c>
      <c r="AI113" s="70"/>
      <c r="AJ113" s="671" t="s">
        <v>155</v>
      </c>
      <c r="AK113" s="70"/>
      <c r="AL113" s="70"/>
      <c r="AM113" s="70"/>
      <c r="AN113" s="70"/>
      <c r="AO113" s="70"/>
      <c r="AP113" s="70"/>
      <c r="AS113" s="23" t="str">
        <f t="shared" si="13"/>
        <v>N/A</v>
      </c>
      <c r="AT113" s="23" t="str">
        <f t="shared" si="14"/>
        <v>N/A</v>
      </c>
      <c r="AU113" s="23" t="str">
        <f t="shared" si="15"/>
        <v>N/A</v>
      </c>
      <c r="AV113" s="23"/>
      <c r="AW113" s="23"/>
      <c r="AX113" s="23"/>
      <c r="AZ113" s="640"/>
    </row>
    <row r="114" spans="1:52" x14ac:dyDescent="0.25">
      <c r="A114" s="1076">
        <v>105</v>
      </c>
      <c r="B114" s="1075" t="s">
        <v>59</v>
      </c>
      <c r="C114" s="1082" t="str">
        <f t="shared" ref="C114:C208" si="19">C113</f>
        <v>Wat 04</v>
      </c>
      <c r="D114" s="824" t="s">
        <v>769</v>
      </c>
      <c r="E114" s="861" t="str">
        <f>VLOOKUP(D114,Poeng!$B$10:$R$252,Poeng!E$1,FALSE)</f>
        <v>Water efficient equipment</v>
      </c>
      <c r="F114" s="122">
        <f>VLOOKUP(D114,Poeng!$B$10:$AB$252,Poeng!AB$1,FALSE)</f>
        <v>1</v>
      </c>
      <c r="G114" s="43"/>
      <c r="H114" s="123">
        <f>VLOOKUP(D114,Poeng!$B$10:$AE$252,Poeng!AE$1,FALSE)</f>
        <v>0</v>
      </c>
      <c r="I114" s="124" t="str">
        <f>VLOOKUP(D114,Poeng!$B$10:$BE$252,Poeng!BE$1,FALSE)</f>
        <v>N/A</v>
      </c>
      <c r="J114" s="80"/>
      <c r="K114" s="281"/>
      <c r="L114" s="796"/>
      <c r="M114" s="816"/>
      <c r="N114" s="83"/>
      <c r="O114" s="123">
        <f>VLOOKUP(D114,Poeng!$B$10:$BC$252,Poeng!AF$1,FALSE)</f>
        <v>0</v>
      </c>
      <c r="P114" s="123" t="str">
        <f>VLOOKUP(D114,Poeng!$B$10:$BH$252,Poeng!BH$1,FALSE)</f>
        <v>N/A</v>
      </c>
      <c r="Q114" s="744"/>
      <c r="R114" s="745"/>
      <c r="S114" s="738"/>
      <c r="T114" s="319"/>
      <c r="U114" s="83"/>
      <c r="V114" s="123">
        <f>VLOOKUP(D114,Poeng!$B$10:$BC$252,Poeng!AG$1,FALSE)</f>
        <v>0</v>
      </c>
      <c r="W114" s="123" t="str">
        <f>VLOOKUP(D114,Poeng!$B$10:$BK$252,Poeng!BK$1,FALSE)</f>
        <v>N/A</v>
      </c>
      <c r="X114" s="81"/>
      <c r="Y114" s="80"/>
      <c r="Z114" s="738"/>
      <c r="AA114" s="133"/>
      <c r="AB114" s="714"/>
      <c r="AC114" s="107">
        <f t="shared" si="12"/>
        <v>1</v>
      </c>
      <c r="AD114" s="3" t="e">
        <f>VLOOKUP(K114,'Assessment Details'!$O$45:$P$48,2,FALSE)</f>
        <v>#N/A</v>
      </c>
      <c r="AE114" s="3" t="e">
        <f>VLOOKUP(R114,'Assessment Details'!$O$45:$P$48,2,FALSE)</f>
        <v>#N/A</v>
      </c>
      <c r="AF114" s="3" t="e">
        <f>VLOOKUP(Y114,'Assessment Details'!$O$45:$P$48,2,FALSE)</f>
        <v>#N/A</v>
      </c>
      <c r="AI114" s="70"/>
      <c r="AJ114" s="671"/>
      <c r="AK114" s="70"/>
      <c r="AL114" s="70"/>
      <c r="AM114" s="70"/>
      <c r="AN114" s="70"/>
      <c r="AO114" s="70"/>
      <c r="AP114" s="70"/>
      <c r="AS114" s="23"/>
      <c r="AT114" s="23"/>
      <c r="AU114" s="23"/>
      <c r="AV114" s="23"/>
      <c r="AW114" s="23"/>
      <c r="AX114" s="23"/>
      <c r="AZ114" s="714"/>
    </row>
    <row r="115" spans="1:52" ht="15.75" thickBot="1" x14ac:dyDescent="0.3">
      <c r="A115" s="1076">
        <v>106</v>
      </c>
      <c r="B115" s="1075" t="s">
        <v>59</v>
      </c>
      <c r="C115" s="1083"/>
      <c r="D115" s="824" t="s">
        <v>886</v>
      </c>
      <c r="E115" s="320" t="s">
        <v>107</v>
      </c>
      <c r="F115" s="125">
        <f>Wat_Credits</f>
        <v>9</v>
      </c>
      <c r="G115" s="131"/>
      <c r="H115" s="126">
        <f>Wat_cont_tot</f>
        <v>0</v>
      </c>
      <c r="I115" s="867" t="str">
        <f>"Credits achieved: "&amp;Wat_tot_user</f>
        <v>Credits achieved: 0</v>
      </c>
      <c r="J115" s="134"/>
      <c r="K115" s="282"/>
      <c r="L115" s="746"/>
      <c r="M115" s="816"/>
      <c r="N115" s="383"/>
      <c r="O115" s="126">
        <f>VLOOKUP(D115,Poeng!$B$10:$BC$252,Poeng!AF$1,FALSE)</f>
        <v>0</v>
      </c>
      <c r="P115" s="867" t="str">
        <f>"Credits achieved: "&amp;Wat_d_user</f>
        <v>Credits achieved: 0</v>
      </c>
      <c r="Q115" s="747"/>
      <c r="R115" s="748"/>
      <c r="S115" s="746"/>
      <c r="T115" s="319"/>
      <c r="U115" s="383"/>
      <c r="V115" s="126">
        <f>VLOOKUP(D115,Poeng!$B$10:$BC$252,Poeng!AG$1,FALSE)</f>
        <v>0</v>
      </c>
      <c r="W115" s="867" t="str">
        <f>"Credits achieved: "&amp;Wat_c_user</f>
        <v>Credits achieved: 0</v>
      </c>
      <c r="X115" s="382"/>
      <c r="Y115" s="136"/>
      <c r="Z115" s="746"/>
      <c r="AA115" s="133"/>
      <c r="AB115" s="641"/>
      <c r="AC115" s="107">
        <f t="shared" si="12"/>
        <v>1</v>
      </c>
      <c r="AD115" s="276">
        <v>0</v>
      </c>
      <c r="AE115" s="276">
        <v>0</v>
      </c>
      <c r="AF115" s="276">
        <v>0</v>
      </c>
      <c r="AI115" s="70"/>
      <c r="AJ115" s="671" t="s">
        <v>107</v>
      </c>
      <c r="AK115" s="70"/>
      <c r="AL115" s="70"/>
      <c r="AM115" s="70"/>
      <c r="AN115" s="70"/>
      <c r="AO115" s="70"/>
      <c r="AP115" s="70"/>
      <c r="AS115" s="23" t="str">
        <f t="shared" si="13"/>
        <v>N/A</v>
      </c>
      <c r="AT115" s="23" t="str">
        <f t="shared" si="14"/>
        <v>N/A</v>
      </c>
      <c r="AU115" s="23" t="str">
        <f t="shared" si="15"/>
        <v>N/A</v>
      </c>
      <c r="AV115" s="23"/>
      <c r="AW115" s="23"/>
      <c r="AX115" s="23"/>
      <c r="AZ115" s="641"/>
    </row>
    <row r="116" spans="1:52" x14ac:dyDescent="0.25">
      <c r="A116" s="1076">
        <v>107</v>
      </c>
      <c r="B116" s="1075" t="s">
        <v>59</v>
      </c>
      <c r="C116" s="322"/>
      <c r="D116" s="824"/>
      <c r="E116" s="321"/>
      <c r="F116" s="322"/>
      <c r="G116" s="323"/>
      <c r="H116" s="322"/>
      <c r="I116" s="322"/>
      <c r="J116" s="324"/>
      <c r="K116" s="323"/>
      <c r="L116" s="749"/>
      <c r="M116" s="815"/>
      <c r="N116" s="325"/>
      <c r="O116" s="325"/>
      <c r="P116" s="749"/>
      <c r="Q116" s="749"/>
      <c r="R116" s="750"/>
      <c r="S116" s="1094"/>
      <c r="T116" s="326"/>
      <c r="U116" s="325"/>
      <c r="V116" s="325"/>
      <c r="W116" s="749"/>
      <c r="X116" s="324"/>
      <c r="Y116" s="325"/>
      <c r="Z116" s="1094"/>
      <c r="AA116" s="699"/>
      <c r="AB116" s="324"/>
      <c r="AC116" s="107">
        <f t="shared" si="12"/>
        <v>1</v>
      </c>
      <c r="AD116" s="278">
        <v>0</v>
      </c>
      <c r="AE116" s="278">
        <v>0</v>
      </c>
      <c r="AF116" s="278">
        <v>0</v>
      </c>
      <c r="AI116" s="70"/>
      <c r="AJ116" s="671"/>
      <c r="AK116" s="70"/>
      <c r="AL116" s="70"/>
      <c r="AM116" s="70"/>
      <c r="AN116" s="70"/>
      <c r="AO116" s="70"/>
      <c r="AP116" s="70"/>
      <c r="AS116" s="23" t="str">
        <f t="shared" si="13"/>
        <v>N/A</v>
      </c>
      <c r="AT116" s="23" t="str">
        <f t="shared" si="14"/>
        <v>N/A</v>
      </c>
      <c r="AU116" s="23" t="str">
        <f t="shared" si="15"/>
        <v>N/A</v>
      </c>
      <c r="AV116" s="23"/>
      <c r="AW116" s="23"/>
      <c r="AX116" s="23"/>
      <c r="AZ116" s="324"/>
    </row>
    <row r="117" spans="1:52" ht="18.75" x14ac:dyDescent="0.25">
      <c r="A117" s="1076">
        <v>108</v>
      </c>
      <c r="B117" s="1077" t="s">
        <v>68</v>
      </c>
      <c r="C117" s="1084"/>
      <c r="D117" s="824"/>
      <c r="E117" s="327" t="s">
        <v>55</v>
      </c>
      <c r="F117" s="315"/>
      <c r="G117" s="316"/>
      <c r="H117" s="336"/>
      <c r="I117" s="315"/>
      <c r="J117" s="328"/>
      <c r="K117" s="329"/>
      <c r="L117" s="752"/>
      <c r="M117" s="816"/>
      <c r="N117" s="339"/>
      <c r="O117" s="332"/>
      <c r="P117" s="742"/>
      <c r="Q117" s="753"/>
      <c r="R117" s="754"/>
      <c r="S117" s="755"/>
      <c r="T117" s="319"/>
      <c r="U117" s="339"/>
      <c r="V117" s="338"/>
      <c r="W117" s="742"/>
      <c r="X117" s="328"/>
      <c r="Y117" s="338"/>
      <c r="Z117" s="752"/>
      <c r="AA117" s="133"/>
      <c r="AB117" s="337"/>
      <c r="AC117" s="107">
        <f t="shared" si="12"/>
        <v>1</v>
      </c>
      <c r="AD117" s="275">
        <v>0</v>
      </c>
      <c r="AE117" s="275">
        <v>0</v>
      </c>
      <c r="AF117" s="275">
        <v>0</v>
      </c>
      <c r="AI117" s="70"/>
      <c r="AJ117" s="671" t="s">
        <v>55</v>
      </c>
      <c r="AK117" s="70"/>
      <c r="AL117" s="70"/>
      <c r="AM117" s="70"/>
      <c r="AN117" s="70"/>
      <c r="AO117" s="70"/>
      <c r="AP117" s="70"/>
      <c r="AS117" s="23" t="str">
        <f t="shared" si="13"/>
        <v>N/A</v>
      </c>
      <c r="AT117" s="23" t="str">
        <f t="shared" si="14"/>
        <v>N/A</v>
      </c>
      <c r="AU117" s="23" t="str">
        <f t="shared" si="15"/>
        <v>N/A</v>
      </c>
      <c r="AV117" s="23"/>
      <c r="AW117" s="23"/>
      <c r="AX117" s="23"/>
      <c r="AZ117" s="337"/>
    </row>
    <row r="118" spans="1:52" ht="30" x14ac:dyDescent="0.25">
      <c r="A118" s="1076">
        <v>109</v>
      </c>
      <c r="B118" s="1077" t="s">
        <v>68</v>
      </c>
      <c r="C118" s="1088" t="s">
        <v>173</v>
      </c>
      <c r="D118" s="824" t="s">
        <v>173</v>
      </c>
      <c r="E118" s="979" t="str">
        <f>VLOOKUP(D118,Poeng!$B$10:$R$252,Poeng!E$1,FALSE)</f>
        <v>Mat 01 Environmental impacts from construction products - Building life cycle assessment (LCA)</v>
      </c>
      <c r="F118" s="865">
        <f>VLOOKUP(D118,Poeng!$B$10:$AB$252,Poeng!AB$1,FALSE)</f>
        <v>5</v>
      </c>
      <c r="G118" s="1000"/>
      <c r="H118" s="866" t="str">
        <f>VLOOKUP(D118,Poeng!$B$10:$AI$252,Poeng!AI$1,FALSE)&amp;" c. "&amp;ROUND(VLOOKUP(D118,Poeng!$B$10:$AE$252,Poeng!AE$1,FALSE)*100,1)&amp;" %"</f>
        <v>0 c. 0 %</v>
      </c>
      <c r="I118" s="923" t="str">
        <f>VLOOKUP(D118,Poeng!$B$10:$BE$252,Poeng!BE$1,FALSE)</f>
        <v>N/A</v>
      </c>
      <c r="J118" s="874"/>
      <c r="K118" s="875"/>
      <c r="L118" s="876"/>
      <c r="M118" s="815"/>
      <c r="N118" s="1001"/>
      <c r="O118" s="1093" t="str">
        <f>VLOOKUP(D118,Poeng!$B$10:$BC$252,Poeng!AJ$1,FALSE)&amp;" c. "&amp;ROUND(VLOOKUP(D118,Poeng!$B$10:$BC$252,Poeng!AF$1,FALSE)*100,1)&amp;" %"</f>
        <v>0 c. 0 %</v>
      </c>
      <c r="P118" s="123" t="str">
        <f>VLOOKUP(D118,Poeng!$B$10:$BH$252,Poeng!BH$1,FALSE)</f>
        <v>N/A</v>
      </c>
      <c r="Q118" s="744"/>
      <c r="R118" s="745"/>
      <c r="S118" s="738"/>
      <c r="T118" s="319"/>
      <c r="U118" s="1001"/>
      <c r="V118" s="877" t="str">
        <f>VLOOKUP(D118,Poeng!$B$10:$BC$252,Poeng!AK$1,FALSE)&amp;" c. "&amp;ROUND(VLOOKUP(D118,Poeng!$B$10:$BC$252,Poeng!AG$1,FALSE)*100,1)&amp;" %"</f>
        <v>0 c. 0 %</v>
      </c>
      <c r="W118" s="123" t="str">
        <f>VLOOKUP(D118,Poeng!$B$10:$BK$252,Poeng!BK$1,FALSE)</f>
        <v>N/A</v>
      </c>
      <c r="X118" s="81"/>
      <c r="Y118" s="80"/>
      <c r="Z118" s="738"/>
      <c r="AA118" s="133"/>
      <c r="AB118" s="640" t="s">
        <v>14</v>
      </c>
      <c r="AC118" s="107">
        <f t="shared" si="12"/>
        <v>1</v>
      </c>
      <c r="AD118" s="3" t="e">
        <f>VLOOKUP(K118,'Assessment Details'!$O$45:$P$48,2,FALSE)</f>
        <v>#N/A</v>
      </c>
      <c r="AE118" s="3" t="e">
        <f>VLOOKUP(R118,'Assessment Details'!$O$45:$P$48,2,FALSE)</f>
        <v>#N/A</v>
      </c>
      <c r="AF118" s="3" t="e">
        <f>VLOOKUP(Y118,'Assessment Details'!$O$45:$P$48,2,FALSE)</f>
        <v>#N/A</v>
      </c>
      <c r="AI118" s="70"/>
      <c r="AJ118" s="671" t="s">
        <v>156</v>
      </c>
      <c r="AK118" s="70"/>
      <c r="AL118" s="70"/>
      <c r="AM118" s="70"/>
      <c r="AN118" s="70"/>
      <c r="AO118" s="70"/>
      <c r="AP118" s="70"/>
      <c r="AS118" s="23" t="str">
        <f t="shared" si="13"/>
        <v>N/A</v>
      </c>
      <c r="AT118" s="23" t="str">
        <f t="shared" si="14"/>
        <v>N/A</v>
      </c>
      <c r="AU118" s="23" t="str">
        <f t="shared" si="15"/>
        <v>N/A</v>
      </c>
      <c r="AV118" s="23"/>
      <c r="AW118" s="23"/>
      <c r="AX118" s="23"/>
      <c r="AZ118" s="640"/>
    </row>
    <row r="119" spans="1:52" x14ac:dyDescent="0.25">
      <c r="A119" s="1076">
        <v>110</v>
      </c>
      <c r="B119" s="1077" t="s">
        <v>68</v>
      </c>
      <c r="C119" s="1082" t="str">
        <f t="shared" si="19"/>
        <v>Mat 01</v>
      </c>
      <c r="D119" s="824" t="s">
        <v>770</v>
      </c>
      <c r="E119" s="861" t="str">
        <f>VLOOKUP(D119,Poeng!$B$10:$R$252,Poeng!E$1,FALSE)</f>
        <v>Pre-requisite: early stage greenhouse gas calculation</v>
      </c>
      <c r="F119" s="122" t="str">
        <f>VLOOKUP(D119,Poeng!$B$10:$AB$252,Poeng!AB$1,FALSE)</f>
        <v>Yes/No</v>
      </c>
      <c r="G119" s="43"/>
      <c r="H119" s="123" t="str">
        <f>VLOOKUP(D119,Poeng!$B$10:$AE$252,Poeng!AE$1,FALSE)</f>
        <v>-</v>
      </c>
      <c r="I119" s="124" t="str">
        <f>VLOOKUP(D119,Poeng!$B$10:$BE$252,Poeng!BE$1,FALSE)</f>
        <v>Unclassified</v>
      </c>
      <c r="J119" s="80"/>
      <c r="K119" s="281"/>
      <c r="L119" s="796"/>
      <c r="M119" s="816"/>
      <c r="N119" s="83"/>
      <c r="O119" s="123" t="str">
        <f>VLOOKUP(D119,Poeng!$B$10:$BC$252,Poeng!AF$1,FALSE)</f>
        <v>-</v>
      </c>
      <c r="P119" s="123" t="str">
        <f>VLOOKUP(D119,Poeng!$B$10:$BH$252,Poeng!BH$1,FALSE)</f>
        <v>Unclassified</v>
      </c>
      <c r="Q119" s="744"/>
      <c r="R119" s="745"/>
      <c r="S119" s="738"/>
      <c r="T119" s="319"/>
      <c r="U119" s="83"/>
      <c r="V119" s="123" t="str">
        <f>VLOOKUP(D119,Poeng!$B$10:$BC$252,Poeng!AG$1,FALSE)</f>
        <v>-</v>
      </c>
      <c r="W119" s="123" t="str">
        <f>VLOOKUP(D119,Poeng!$B$10:$BK$252,Poeng!BK$1,FALSE)</f>
        <v>Unclassified</v>
      </c>
      <c r="X119" s="81"/>
      <c r="Y119" s="80"/>
      <c r="Z119" s="738"/>
      <c r="AA119" s="133"/>
      <c r="AB119" s="864"/>
      <c r="AC119" s="107">
        <f t="shared" si="12"/>
        <v>1</v>
      </c>
      <c r="AD119" s="3" t="e">
        <f>VLOOKUP(K119,'Assessment Details'!$O$45:$P$48,2,FALSE)</f>
        <v>#N/A</v>
      </c>
      <c r="AE119" s="3" t="e">
        <f>VLOOKUP(R119,'Assessment Details'!$O$45:$P$48,2,FALSE)</f>
        <v>#N/A</v>
      </c>
      <c r="AF119" s="3" t="e">
        <f>VLOOKUP(Y119,'Assessment Details'!$O$45:$P$48,2,FALSE)</f>
        <v>#N/A</v>
      </c>
      <c r="AI119" s="3"/>
      <c r="AJ119" s="3"/>
      <c r="AK119" s="3"/>
      <c r="AL119" s="3"/>
      <c r="AM119" s="3"/>
      <c r="AN119" s="3"/>
      <c r="AO119" s="3"/>
      <c r="AP119" s="3"/>
      <c r="AS119" s="23"/>
      <c r="AT119" s="23"/>
      <c r="AU119" s="23"/>
      <c r="AV119" s="23"/>
      <c r="AW119" s="23"/>
      <c r="AX119" s="23"/>
      <c r="AZ119" s="864"/>
    </row>
    <row r="120" spans="1:52" x14ac:dyDescent="0.25">
      <c r="A120" s="1076">
        <v>111</v>
      </c>
      <c r="B120" s="1077" t="s">
        <v>68</v>
      </c>
      <c r="C120" s="1082" t="str">
        <f t="shared" si="19"/>
        <v>Mat 01</v>
      </c>
      <c r="D120" s="824" t="s">
        <v>771</v>
      </c>
      <c r="E120" s="861" t="str">
        <f>VLOOKUP(D120,Poeng!$B$10:$R$252,Poeng!E$1,FALSE)</f>
        <v>Reduction of greenhouse gas emissions</v>
      </c>
      <c r="F120" s="122">
        <f>VLOOKUP(D120,Poeng!$B$10:$AB$252,Poeng!AB$1,FALSE)</f>
        <v>3</v>
      </c>
      <c r="G120" s="43"/>
      <c r="H120" s="123">
        <f>VLOOKUP(D120,Poeng!$B$10:$AE$252,Poeng!AE$1,FALSE)</f>
        <v>0</v>
      </c>
      <c r="I120" s="124" t="str">
        <f>VLOOKUP(D120,Poeng!$B$10:$BE$252,Poeng!BE$1,FALSE)</f>
        <v>Good</v>
      </c>
      <c r="J120" s="80"/>
      <c r="K120" s="281"/>
      <c r="L120" s="796"/>
      <c r="M120" s="816"/>
      <c r="N120" s="83"/>
      <c r="O120" s="123">
        <f>VLOOKUP(D120,Poeng!$B$10:$BC$252,Poeng!AF$1,FALSE)</f>
        <v>0</v>
      </c>
      <c r="P120" s="123" t="str">
        <f>VLOOKUP(D120,Poeng!$B$10:$BH$252,Poeng!BH$1,FALSE)</f>
        <v>Good</v>
      </c>
      <c r="Q120" s="744"/>
      <c r="R120" s="745"/>
      <c r="S120" s="738"/>
      <c r="T120" s="319"/>
      <c r="U120" s="83"/>
      <c r="V120" s="123">
        <f>VLOOKUP(D120,Poeng!$B$10:$BC$252,Poeng!AG$1,FALSE)</f>
        <v>0</v>
      </c>
      <c r="W120" s="123" t="str">
        <f>VLOOKUP(D120,Poeng!$B$10:$BK$252,Poeng!BK$1,FALSE)</f>
        <v>Good</v>
      </c>
      <c r="X120" s="81"/>
      <c r="Y120" s="80"/>
      <c r="Z120" s="738"/>
      <c r="AA120" s="133"/>
      <c r="AB120" s="864"/>
      <c r="AC120" s="107">
        <f t="shared" si="12"/>
        <v>1</v>
      </c>
      <c r="AD120" s="3" t="e">
        <f>VLOOKUP(K120,'Assessment Details'!$O$45:$P$48,2,FALSE)</f>
        <v>#N/A</v>
      </c>
      <c r="AE120" s="3" t="e">
        <f>VLOOKUP(R120,'Assessment Details'!$O$45:$P$48,2,FALSE)</f>
        <v>#N/A</v>
      </c>
      <c r="AF120" s="3" t="e">
        <f>VLOOKUP(Y120,'Assessment Details'!$O$45:$P$48,2,FALSE)</f>
        <v>#N/A</v>
      </c>
      <c r="AI120" s="3"/>
      <c r="AJ120" s="3"/>
      <c r="AK120" s="3"/>
      <c r="AL120" s="3"/>
      <c r="AM120" s="3"/>
      <c r="AN120" s="3"/>
      <c r="AO120" s="3"/>
      <c r="AP120" s="3"/>
      <c r="AS120" s="23"/>
      <c r="AT120" s="23"/>
      <c r="AU120" s="23"/>
      <c r="AV120" s="23"/>
      <c r="AW120" s="23"/>
      <c r="AX120" s="23"/>
      <c r="AZ120" s="864"/>
    </row>
    <row r="121" spans="1:52" x14ac:dyDescent="0.25">
      <c r="A121" s="1076">
        <v>112</v>
      </c>
      <c r="B121" s="1077" t="s">
        <v>68</v>
      </c>
      <c r="C121" s="1082" t="str">
        <f t="shared" si="19"/>
        <v>Mat 01</v>
      </c>
      <c r="D121" s="19" t="s">
        <v>772</v>
      </c>
      <c r="E121" s="861" t="str">
        <f>VLOOKUP(D121,Poeng!$B$10:$R$252,Poeng!E$1,FALSE)</f>
        <v>Life cycle assessment of the building</v>
      </c>
      <c r="F121" s="122">
        <f>VLOOKUP(D121,Poeng!$B$10:$AB$252,Poeng!AB$1,FALSE)</f>
        <v>2</v>
      </c>
      <c r="G121" s="43"/>
      <c r="H121" s="123">
        <f>VLOOKUP(D121,Poeng!$B$10:$AE$252,Poeng!AE$1,FALSE)</f>
        <v>0</v>
      </c>
      <c r="I121" s="124" t="str">
        <f>VLOOKUP(D121,Poeng!$B$10:$BE$252,Poeng!BE$1,FALSE)</f>
        <v>N/A</v>
      </c>
      <c r="J121" s="80"/>
      <c r="K121" s="281"/>
      <c r="L121" s="796"/>
      <c r="M121" s="816"/>
      <c r="N121" s="83"/>
      <c r="O121" s="123">
        <f>VLOOKUP(D121,Poeng!$B$10:$BC$252,Poeng!AF$1,FALSE)</f>
        <v>0</v>
      </c>
      <c r="P121" s="123" t="str">
        <f>VLOOKUP(D121,Poeng!$B$10:$BH$252,Poeng!BH$1,FALSE)</f>
        <v>N/A</v>
      </c>
      <c r="Q121" s="744"/>
      <c r="R121" s="745"/>
      <c r="S121" s="738"/>
      <c r="T121" s="319"/>
      <c r="U121" s="83"/>
      <c r="V121" s="123">
        <f>VLOOKUP(D121,Poeng!$B$10:$BC$252,Poeng!AG$1,FALSE)</f>
        <v>0</v>
      </c>
      <c r="W121" s="123" t="str">
        <f>VLOOKUP(D121,Poeng!$B$10:$BK$252,Poeng!BK$1,FALSE)</f>
        <v>N/A</v>
      </c>
      <c r="X121" s="81"/>
      <c r="Y121" s="80"/>
      <c r="Z121" s="738"/>
      <c r="AC121" s="107">
        <f t="shared" si="12"/>
        <v>1</v>
      </c>
      <c r="AD121" s="3" t="e">
        <f>VLOOKUP(K121,'Assessment Details'!$O$45:$P$48,2,FALSE)</f>
        <v>#N/A</v>
      </c>
      <c r="AE121" s="3" t="e">
        <f>VLOOKUP(R121,'Assessment Details'!$O$45:$P$48,2,FALSE)</f>
        <v>#N/A</v>
      </c>
      <c r="AF121" s="3" t="e">
        <f>VLOOKUP(Y121,'Assessment Details'!$O$45:$P$48,2,FALSE)</f>
        <v>#N/A</v>
      </c>
    </row>
    <row r="122" spans="1:52" ht="15" customHeight="1" x14ac:dyDescent="0.25">
      <c r="A122" s="1076">
        <v>113</v>
      </c>
      <c r="B122" s="1077" t="s">
        <v>68</v>
      </c>
      <c r="C122" s="1088" t="s">
        <v>478</v>
      </c>
      <c r="D122" s="824" t="s">
        <v>478</v>
      </c>
      <c r="E122" s="979" t="str">
        <f>VLOOKUP(D122,Poeng!$B$10:$R$258,Poeng!E$1,FALSE)</f>
        <v>Mat 02 Environmental impacts from construction products - product requirements</v>
      </c>
      <c r="F122" s="865">
        <f>VLOOKUP(D122,Poeng!$B$10:$AB$258,Poeng!AB$1,FALSE)</f>
        <v>3</v>
      </c>
      <c r="G122" s="1001"/>
      <c r="H122" s="866" t="str">
        <f>VLOOKUP(D122,Poeng!$B$10:$AI$258,Poeng!AI$1,FALSE)&amp;" c. "&amp;ROUND(VLOOKUP(D122,Poeng!$B$10:$AE$258,Poeng!AE$1,FALSE)*100,1)&amp;" %"</f>
        <v>0 c. 0 %</v>
      </c>
      <c r="I122" s="924" t="str">
        <f>VLOOKUP(D122,Poeng!$B$10:$BE$258,Poeng!BE$1,FALSE)</f>
        <v>N/A</v>
      </c>
      <c r="J122" s="80"/>
      <c r="K122" s="281"/>
      <c r="L122" s="796"/>
      <c r="M122" s="816"/>
      <c r="N122" s="1001"/>
      <c r="O122" s="877" t="str">
        <f>VLOOKUP(D122,Poeng!$B$10:$BC$258,Poeng!AJ$1,FALSE)&amp;" c. "&amp;ROUND(VLOOKUP(D122,Poeng!$B$10:$BC$258,Poeng!AF$1,FALSE)*100,1)&amp;" %"</f>
        <v>0 c. 0 %</v>
      </c>
      <c r="P122" s="123" t="str">
        <f>VLOOKUP(D122,Poeng!$B$10:$BH$258,Poeng!BH$1,FALSE)</f>
        <v>N/A</v>
      </c>
      <c r="Q122" s="744"/>
      <c r="R122" s="745"/>
      <c r="S122" s="738"/>
      <c r="T122" s="319"/>
      <c r="U122" s="1001"/>
      <c r="V122" s="877" t="str">
        <f>VLOOKUP(D122,Poeng!$B$10:$BC$258,Poeng!AK$1,FALSE)&amp;" c. "&amp;ROUND(VLOOKUP(D122,Poeng!$B$10:$BC$258,Poeng!AG$1,FALSE)*100,1)&amp;" %"</f>
        <v>0 c. 0 %</v>
      </c>
      <c r="W122" s="123" t="str">
        <f>VLOOKUP(D122,Poeng!$B$10:$BK$258,Poeng!BK$1,FALSE)</f>
        <v>N/A</v>
      </c>
      <c r="X122" s="81"/>
      <c r="Y122" s="80"/>
      <c r="Z122" s="738"/>
      <c r="AA122" s="133"/>
      <c r="AB122" s="640"/>
      <c r="AC122" s="107">
        <f t="shared" si="12"/>
        <v>1</v>
      </c>
      <c r="AD122" s="3" t="e">
        <f>VLOOKUP(K122,'Assessment Details'!$O$45:$P$48,2,FALSE)</f>
        <v>#N/A</v>
      </c>
      <c r="AE122" s="3" t="e">
        <f>VLOOKUP(R122,'Assessment Details'!$O$45:$P$48,2,FALSE)</f>
        <v>#N/A</v>
      </c>
      <c r="AF122" s="3" t="e">
        <f>VLOOKUP(Y122,'Assessment Details'!$O$45:$P$48,2,FALSE)</f>
        <v>#N/A</v>
      </c>
      <c r="AI122" s="70"/>
      <c r="AJ122" s="671"/>
      <c r="AK122" s="70"/>
      <c r="AL122" s="70"/>
      <c r="AM122" s="70"/>
      <c r="AN122" s="70"/>
      <c r="AO122" s="70"/>
      <c r="AP122" s="70"/>
      <c r="AS122" s="23"/>
      <c r="AT122" s="23"/>
      <c r="AU122" s="23"/>
      <c r="AV122" s="23"/>
      <c r="AW122" s="23"/>
      <c r="AX122" s="23"/>
      <c r="AZ122" s="640"/>
    </row>
    <row r="123" spans="1:52" ht="30" x14ac:dyDescent="0.25">
      <c r="A123" s="1076">
        <v>114</v>
      </c>
      <c r="B123" s="1077" t="s">
        <v>68</v>
      </c>
      <c r="C123" s="1082" t="str">
        <f t="shared" si="19"/>
        <v>Mat 02</v>
      </c>
      <c r="D123" s="19" t="s">
        <v>773</v>
      </c>
      <c r="E123" s="1071" t="str">
        <f>VLOOKUP(D123,Poeng!$B$10:$R$252,Poeng!E$1,FALSE)</f>
        <v>Minimum req: absence of environmental toxins (EU taxonomy requirement: criterion 1)</v>
      </c>
      <c r="F123" s="122" t="str">
        <f>VLOOKUP(D123,Poeng!$B$10:$AB$252,Poeng!AB$1,FALSE)</f>
        <v>Yes/No</v>
      </c>
      <c r="G123" s="43"/>
      <c r="H123" s="123" t="str">
        <f>VLOOKUP(D123,Poeng!$B$10:$AE$252,Poeng!AE$1,FALSE)</f>
        <v>-</v>
      </c>
      <c r="I123" s="124" t="str">
        <f>VLOOKUP(D123,Poeng!$B$10:$BE$252,Poeng!BE$1,FALSE)</f>
        <v>Unclassified</v>
      </c>
      <c r="J123" s="80"/>
      <c r="K123" s="281"/>
      <c r="L123" s="796"/>
      <c r="M123" s="816"/>
      <c r="N123" s="83"/>
      <c r="O123" s="123" t="str">
        <f>VLOOKUP(D123,Poeng!$B$10:$BC$252,Poeng!AF$1,FALSE)</f>
        <v>-</v>
      </c>
      <c r="P123" s="123" t="str">
        <f>VLOOKUP(D123,Poeng!$B$10:$BH$252,Poeng!BH$1,FALSE)</f>
        <v>Unclassified</v>
      </c>
      <c r="Q123" s="744"/>
      <c r="R123" s="745"/>
      <c r="S123" s="738"/>
      <c r="T123" s="319"/>
      <c r="U123" s="83"/>
      <c r="V123" s="123" t="str">
        <f>VLOOKUP(D123,Poeng!$B$10:$BC$252,Poeng!AG$1,FALSE)</f>
        <v>-</v>
      </c>
      <c r="W123" s="123" t="str">
        <f>VLOOKUP(D123,Poeng!$B$10:$BK$252,Poeng!BK$1,FALSE)</f>
        <v>Unclassified</v>
      </c>
      <c r="X123" s="81"/>
      <c r="Y123" s="80"/>
      <c r="Z123" s="738"/>
      <c r="AC123" s="107">
        <f t="shared" si="12"/>
        <v>1</v>
      </c>
      <c r="AD123" s="3" t="e">
        <f>VLOOKUP(K123,'Assessment Details'!$O$45:$P$48,2,FALSE)</f>
        <v>#N/A</v>
      </c>
      <c r="AE123" s="3" t="e">
        <f>VLOOKUP(R123,'Assessment Details'!$O$45:$P$48,2,FALSE)</f>
        <v>#N/A</v>
      </c>
      <c r="AF123" s="3" t="e">
        <f>VLOOKUP(Y123,'Assessment Details'!$O$45:$P$48,2,FALSE)</f>
        <v>#N/A</v>
      </c>
    </row>
    <row r="124" spans="1:52" x14ac:dyDescent="0.25">
      <c r="A124" s="1076">
        <v>115</v>
      </c>
      <c r="B124" s="1077" t="s">
        <v>68</v>
      </c>
      <c r="C124" s="1082" t="str">
        <f t="shared" si="19"/>
        <v>Mat 02</v>
      </c>
      <c r="D124" s="19" t="s">
        <v>774</v>
      </c>
      <c r="E124" s="861" t="str">
        <f>VLOOKUP(D124,Poeng!$B$10:$R$252,Poeng!E$1,FALSE)</f>
        <v xml:space="preserve">EPD for construction products </v>
      </c>
      <c r="F124" s="122">
        <f>VLOOKUP(D124,Poeng!$B$10:$AB$252,Poeng!AB$1,FALSE)</f>
        <v>1</v>
      </c>
      <c r="G124" s="43"/>
      <c r="H124" s="123">
        <f>VLOOKUP(D124,Poeng!$B$10:$AE$252,Poeng!AE$1,FALSE)</f>
        <v>0</v>
      </c>
      <c r="I124" s="124" t="str">
        <f>VLOOKUP(D124,Poeng!$B$10:$BE$252,Poeng!BE$1,FALSE)</f>
        <v>N/A</v>
      </c>
      <c r="J124" s="80"/>
      <c r="K124" s="281"/>
      <c r="L124" s="796"/>
      <c r="M124" s="816"/>
      <c r="N124" s="83"/>
      <c r="O124" s="123">
        <f>VLOOKUP(D124,Poeng!$B$10:$BC$252,Poeng!AF$1,FALSE)</f>
        <v>0</v>
      </c>
      <c r="P124" s="123" t="str">
        <f>VLOOKUP(D124,Poeng!$B$10:$BH$252,Poeng!BH$1,FALSE)</f>
        <v>N/A</v>
      </c>
      <c r="Q124" s="744"/>
      <c r="R124" s="745"/>
      <c r="S124" s="738"/>
      <c r="T124" s="319"/>
      <c r="U124" s="83"/>
      <c r="V124" s="123">
        <f>VLOOKUP(D124,Poeng!$B$10:$BC$252,Poeng!AG$1,FALSE)</f>
        <v>0</v>
      </c>
      <c r="W124" s="123" t="str">
        <f>VLOOKUP(D124,Poeng!$B$10:$BK$252,Poeng!BK$1,FALSE)</f>
        <v>N/A</v>
      </c>
      <c r="X124" s="81"/>
      <c r="Y124" s="80"/>
      <c r="Z124" s="738"/>
      <c r="AC124" s="107">
        <f t="shared" si="12"/>
        <v>1</v>
      </c>
      <c r="AD124" s="3" t="e">
        <f>VLOOKUP(K124,'Assessment Details'!$O$45:$P$48,2,FALSE)</f>
        <v>#N/A</v>
      </c>
      <c r="AE124" s="3" t="e">
        <f>VLOOKUP(R124,'Assessment Details'!$O$45:$P$48,2,FALSE)</f>
        <v>#N/A</v>
      </c>
      <c r="AF124" s="3" t="e">
        <f>VLOOKUP(Y124,'Assessment Details'!$O$45:$P$48,2,FALSE)</f>
        <v>#N/A</v>
      </c>
    </row>
    <row r="125" spans="1:52" x14ac:dyDescent="0.25">
      <c r="A125" s="1076">
        <v>116</v>
      </c>
      <c r="B125" s="1077" t="s">
        <v>68</v>
      </c>
      <c r="C125" s="1082" t="str">
        <f t="shared" si="19"/>
        <v>Mat 02</v>
      </c>
      <c r="D125" s="19" t="s">
        <v>775</v>
      </c>
      <c r="E125" s="861" t="str">
        <f>VLOOKUP(D125,Poeng!$B$10:$R$252,Poeng!E$1,FALSE)</f>
        <v xml:space="preserve">Performance requirements for construction products </v>
      </c>
      <c r="F125" s="122">
        <f>VLOOKUP(D125,Poeng!$B$10:$AB$252,Poeng!AB$1,FALSE)</f>
        <v>2</v>
      </c>
      <c r="G125" s="43"/>
      <c r="H125" s="123">
        <f>VLOOKUP(D125,Poeng!$B$10:$AE$252,Poeng!AE$1,FALSE)</f>
        <v>0</v>
      </c>
      <c r="I125" s="124" t="str">
        <f>VLOOKUP(D125,Poeng!$B$10:$BE$252,Poeng!BE$1,FALSE)</f>
        <v>N/A</v>
      </c>
      <c r="J125" s="80"/>
      <c r="K125" s="281"/>
      <c r="L125" s="796"/>
      <c r="M125" s="816"/>
      <c r="N125" s="83"/>
      <c r="O125" s="123">
        <f>VLOOKUP(D125,Poeng!$B$10:$BC$252,Poeng!AF$1,FALSE)</f>
        <v>0</v>
      </c>
      <c r="P125" s="123" t="str">
        <f>VLOOKUP(D125,Poeng!$B$10:$BH$252,Poeng!BH$1,FALSE)</f>
        <v>N/A</v>
      </c>
      <c r="Q125" s="744"/>
      <c r="R125" s="745"/>
      <c r="S125" s="1095"/>
      <c r="T125" s="319"/>
      <c r="U125" s="83"/>
      <c r="V125" s="123">
        <f>VLOOKUP(D125,Poeng!$B$10:$BC$252,Poeng!AG$1,FALSE)</f>
        <v>0</v>
      </c>
      <c r="W125" s="123" t="str">
        <f>VLOOKUP(D125,Poeng!$B$10:$BK$252,Poeng!BK$1,FALSE)</f>
        <v>N/A</v>
      </c>
      <c r="X125" s="81"/>
      <c r="Y125" s="80"/>
      <c r="Z125" s="1095"/>
      <c r="AC125" s="107">
        <f t="shared" si="12"/>
        <v>1</v>
      </c>
      <c r="AD125" s="3" t="e">
        <f>VLOOKUP(K125,'Assessment Details'!$O$45:$P$48,2,FALSE)</f>
        <v>#N/A</v>
      </c>
      <c r="AE125" s="3" t="e">
        <f>VLOOKUP(R125,'Assessment Details'!$O$45:$P$48,2,FALSE)</f>
        <v>#N/A</v>
      </c>
      <c r="AF125" s="3" t="e">
        <f>VLOOKUP(Y125,'Assessment Details'!$O$45:$P$48,2,FALSE)</f>
        <v>#N/A</v>
      </c>
    </row>
    <row r="126" spans="1:52" x14ac:dyDescent="0.25">
      <c r="A126" s="1076">
        <v>117</v>
      </c>
      <c r="B126" s="1077" t="s">
        <v>68</v>
      </c>
      <c r="C126" s="924" t="s">
        <v>174</v>
      </c>
      <c r="D126" s="824" t="s">
        <v>174</v>
      </c>
      <c r="E126" s="860" t="str">
        <f>VLOOKUP(D126,Poeng!$B$10:$R$252,Poeng!E$1,FALSE)</f>
        <v>Mat 03 Responsible sourcing of construction products</v>
      </c>
      <c r="F126" s="865">
        <f>VLOOKUP(D126,Poeng!$B$10:$AB$252,Poeng!AB$1,FALSE)</f>
        <v>3</v>
      </c>
      <c r="G126" s="1001"/>
      <c r="H126" s="866" t="str">
        <f>VLOOKUP(D126,Poeng!$B$10:$AI$252,Poeng!AI$1,FALSE)&amp;" c. "&amp;ROUND(VLOOKUP(D126,Poeng!$B$10:$AE$252,Poeng!AE$1,FALSE)*100,1)&amp;" %"</f>
        <v>0 c. 0 %</v>
      </c>
      <c r="I126" s="924" t="str">
        <f>VLOOKUP(D126,Poeng!$B$10:$BE$252,Poeng!BE$1,FALSE)</f>
        <v>N/A</v>
      </c>
      <c r="J126" s="80"/>
      <c r="K126" s="281"/>
      <c r="L126" s="796"/>
      <c r="M126" s="816"/>
      <c r="N126" s="1001"/>
      <c r="O126" s="877" t="str">
        <f>VLOOKUP(D126,Poeng!$B$10:$BC$252,Poeng!AJ$1,FALSE)&amp;" c. "&amp;ROUND(VLOOKUP(D126,Poeng!$B$10:$BC$252,Poeng!AF$1,FALSE)*100,1)&amp;" %"</f>
        <v>0 c. 0 %</v>
      </c>
      <c r="P126" s="123" t="str">
        <f>VLOOKUP(D126,Poeng!$B$10:$BH$252,Poeng!BH$1,FALSE)</f>
        <v>N/A</v>
      </c>
      <c r="Q126" s="744"/>
      <c r="R126" s="745"/>
      <c r="S126" s="738"/>
      <c r="T126" s="319"/>
      <c r="U126" s="1001"/>
      <c r="V126" s="877" t="str">
        <f>VLOOKUP(D126,Poeng!$B$10:$BC$252,Poeng!AK$1,FALSE)&amp;" c. "&amp;ROUND(VLOOKUP(D126,Poeng!$B$10:$BC$252,Poeng!AG$1,FALSE)*100,1)&amp;" %"</f>
        <v>0 c. 0 %</v>
      </c>
      <c r="W126" s="123" t="str">
        <f>VLOOKUP(D126,Poeng!$B$10:$BK$252,Poeng!BK$1,FALSE)</f>
        <v>N/A</v>
      </c>
      <c r="X126" s="81"/>
      <c r="Y126" s="80"/>
      <c r="Z126" s="738"/>
      <c r="AA126" s="133"/>
      <c r="AB126" s="640" t="s">
        <v>14</v>
      </c>
      <c r="AC126" s="107">
        <f t="shared" si="12"/>
        <v>1</v>
      </c>
      <c r="AD126" s="3" t="e">
        <f>VLOOKUP(K126,'Assessment Details'!$O$45:$P$48,2,FALSE)</f>
        <v>#N/A</v>
      </c>
      <c r="AE126" s="3" t="e">
        <f>VLOOKUP(R126,'Assessment Details'!$O$45:$P$48,2,FALSE)</f>
        <v>#N/A</v>
      </c>
      <c r="AF126" s="3" t="e">
        <f>VLOOKUP(Y126,'Assessment Details'!$O$45:$P$48,2,FALSE)</f>
        <v>#N/A</v>
      </c>
      <c r="AI126" s="70"/>
      <c r="AJ126" s="671" t="s">
        <v>157</v>
      </c>
      <c r="AK126" s="70"/>
      <c r="AL126" s="70"/>
      <c r="AM126" s="70"/>
      <c r="AN126" s="70"/>
      <c r="AO126" s="70"/>
      <c r="AP126" s="70"/>
      <c r="AS126" s="23" t="str">
        <f t="shared" si="13"/>
        <v>N/A</v>
      </c>
      <c r="AT126" s="23" t="str">
        <f t="shared" si="14"/>
        <v>N/A</v>
      </c>
      <c r="AU126" s="23" t="str">
        <f t="shared" si="15"/>
        <v>N/A</v>
      </c>
      <c r="AV126" s="23"/>
      <c r="AW126" s="23"/>
      <c r="AX126" s="23"/>
      <c r="AZ126" s="640"/>
    </row>
    <row r="127" spans="1:52" x14ac:dyDescent="0.25">
      <c r="A127" s="1076">
        <v>118</v>
      </c>
      <c r="B127" s="1077" t="s">
        <v>68</v>
      </c>
      <c r="C127" s="1082" t="str">
        <f t="shared" si="19"/>
        <v>Mat 03</v>
      </c>
      <c r="D127" s="19" t="s">
        <v>776</v>
      </c>
      <c r="E127" s="861" t="str">
        <f>VLOOKUP(D127,Poeng!$B$10:$R$252,Poeng!E$1,FALSE)</f>
        <v>Minimum req: legal and sustainable timber</v>
      </c>
      <c r="F127" s="122" t="str">
        <f>VLOOKUP(D127,Poeng!$B$10:$AB$252,Poeng!AB$1,FALSE)</f>
        <v>Yes/No</v>
      </c>
      <c r="G127" s="43"/>
      <c r="H127" s="123" t="str">
        <f>VLOOKUP(D127,Poeng!$B$10:$AE$252,Poeng!AE$1,FALSE)</f>
        <v>-</v>
      </c>
      <c r="I127" s="124" t="str">
        <f>VLOOKUP(D127,Poeng!$B$10:$BE$252,Poeng!BE$1,FALSE)</f>
        <v>Unclassified</v>
      </c>
      <c r="J127" s="80"/>
      <c r="K127" s="281"/>
      <c r="L127" s="796"/>
      <c r="M127" s="816"/>
      <c r="N127" s="83"/>
      <c r="O127" s="123" t="str">
        <f>VLOOKUP(D127,Poeng!$B$10:$BC$252,Poeng!AF$1,FALSE)</f>
        <v>-</v>
      </c>
      <c r="P127" s="123" t="str">
        <f>VLOOKUP(D127,Poeng!$B$10:$BH$252,Poeng!BH$1,FALSE)</f>
        <v>Unclassified</v>
      </c>
      <c r="Q127" s="744"/>
      <c r="R127" s="745"/>
      <c r="S127" s="738"/>
      <c r="T127" s="319"/>
      <c r="U127" s="83"/>
      <c r="V127" s="123" t="str">
        <f>VLOOKUP(D127,Poeng!$B$10:$BC$252,Poeng!AG$1,FALSE)</f>
        <v>-</v>
      </c>
      <c r="W127" s="123" t="str">
        <f>VLOOKUP(D127,Poeng!$B$10:$BK$252,Poeng!BK$1,FALSE)</f>
        <v>Unclassified</v>
      </c>
      <c r="X127" s="81"/>
      <c r="Y127" s="80"/>
      <c r="Z127" s="738"/>
      <c r="AC127" s="107">
        <f t="shared" si="12"/>
        <v>1</v>
      </c>
      <c r="AD127" s="3" t="e">
        <f>VLOOKUP(K127,'Assessment Details'!$O$45:$P$48,2,FALSE)</f>
        <v>#N/A</v>
      </c>
      <c r="AE127" s="3" t="e">
        <f>VLOOKUP(R127,'Assessment Details'!$O$45:$P$48,2,FALSE)</f>
        <v>#N/A</v>
      </c>
      <c r="AF127" s="3" t="e">
        <f>VLOOKUP(Y127,'Assessment Details'!$O$45:$P$48,2,FALSE)</f>
        <v>#N/A</v>
      </c>
    </row>
    <row r="128" spans="1:52" x14ac:dyDescent="0.25">
      <c r="A128" s="1076">
        <v>119</v>
      </c>
      <c r="B128" s="1077" t="s">
        <v>68</v>
      </c>
      <c r="C128" s="1082" t="str">
        <f t="shared" si="19"/>
        <v>Mat 03</v>
      </c>
      <c r="D128" s="19" t="s">
        <v>777</v>
      </c>
      <c r="E128" s="861" t="str">
        <f>VLOOKUP(D128,Poeng!$B$10:$R$252,Poeng!E$1,FALSE)</f>
        <v>Enabling sustainable procurement</v>
      </c>
      <c r="F128" s="122">
        <f>VLOOKUP(D128,Poeng!$B$10:$AB$252,Poeng!AB$1,FALSE)</f>
        <v>1</v>
      </c>
      <c r="G128" s="43"/>
      <c r="H128" s="123">
        <f>VLOOKUP(D128,Poeng!$B$10:$AE$252,Poeng!AE$1,FALSE)</f>
        <v>0</v>
      </c>
      <c r="I128" s="124" t="str">
        <f>VLOOKUP(D128,Poeng!$B$10:$BE$252,Poeng!BE$1,FALSE)</f>
        <v>N/A</v>
      </c>
      <c r="J128" s="80"/>
      <c r="K128" s="281"/>
      <c r="L128" s="796"/>
      <c r="M128" s="816"/>
      <c r="N128" s="83"/>
      <c r="O128" s="123">
        <f>VLOOKUP(D128,Poeng!$B$10:$BC$252,Poeng!AF$1,FALSE)</f>
        <v>0</v>
      </c>
      <c r="P128" s="123" t="str">
        <f>VLOOKUP(D128,Poeng!$B$10:$BH$252,Poeng!BH$1,FALSE)</f>
        <v>N/A</v>
      </c>
      <c r="Q128" s="744"/>
      <c r="R128" s="745"/>
      <c r="S128" s="738"/>
      <c r="T128" s="319"/>
      <c r="U128" s="83"/>
      <c r="V128" s="123">
        <f>VLOOKUP(D128,Poeng!$B$10:$BC$252,Poeng!AG$1,FALSE)</f>
        <v>0</v>
      </c>
      <c r="W128" s="123" t="str">
        <f>VLOOKUP(D128,Poeng!$B$10:$BK$252,Poeng!BK$1,FALSE)</f>
        <v>N/A</v>
      </c>
      <c r="X128" s="81"/>
      <c r="Y128" s="80"/>
      <c r="Z128" s="738"/>
      <c r="AC128" s="107">
        <f t="shared" si="12"/>
        <v>1</v>
      </c>
      <c r="AD128" s="3" t="e">
        <f>VLOOKUP(K128,'Assessment Details'!$O$45:$P$48,2,FALSE)</f>
        <v>#N/A</v>
      </c>
      <c r="AE128" s="3" t="e">
        <f>VLOOKUP(R128,'Assessment Details'!$O$45:$P$48,2,FALSE)</f>
        <v>#N/A</v>
      </c>
      <c r="AF128" s="3" t="e">
        <f>VLOOKUP(Y128,'Assessment Details'!$O$45:$P$48,2,FALSE)</f>
        <v>#N/A</v>
      </c>
    </row>
    <row r="129" spans="1:52" x14ac:dyDescent="0.25">
      <c r="A129" s="1076">
        <v>120</v>
      </c>
      <c r="B129" s="1077" t="s">
        <v>68</v>
      </c>
      <c r="C129" s="1082" t="str">
        <f t="shared" si="19"/>
        <v>Mat 03</v>
      </c>
      <c r="D129" s="19" t="s">
        <v>778</v>
      </c>
      <c r="E129" s="861" t="str">
        <f>VLOOKUP(D129,Poeng!$B$10:$R$252,Poeng!E$1,FALSE)</f>
        <v>Responsible sourcing of relevant materials</v>
      </c>
      <c r="F129" s="122">
        <f>VLOOKUP(D129,Poeng!$B$10:$AB$252,Poeng!AB$1,FALSE)</f>
        <v>2</v>
      </c>
      <c r="G129" s="43"/>
      <c r="H129" s="123">
        <f>VLOOKUP(D129,Poeng!$B$10:$AE$252,Poeng!AE$1,FALSE)</f>
        <v>0</v>
      </c>
      <c r="I129" s="124" t="str">
        <f>VLOOKUP(D129,Poeng!$B$10:$BE$252,Poeng!BE$1,FALSE)</f>
        <v>N/A</v>
      </c>
      <c r="J129" s="1096"/>
      <c r="K129" s="281"/>
      <c r="L129" s="796"/>
      <c r="M129" s="816"/>
      <c r="N129" s="83"/>
      <c r="O129" s="123">
        <f>VLOOKUP(D129,Poeng!$B$10:$BC$252,Poeng!AF$1,FALSE)</f>
        <v>0</v>
      </c>
      <c r="P129" s="123" t="str">
        <f>VLOOKUP(D129,Poeng!$B$10:$BH$252,Poeng!BH$1,FALSE)</f>
        <v>N/A</v>
      </c>
      <c r="Q129" s="744"/>
      <c r="R129" s="745"/>
      <c r="S129" s="738"/>
      <c r="T129" s="319"/>
      <c r="U129" s="83"/>
      <c r="V129" s="123">
        <f>VLOOKUP(D129,Poeng!$B$10:$BC$252,Poeng!AG$1,FALSE)</f>
        <v>0</v>
      </c>
      <c r="W129" s="123" t="str">
        <f>VLOOKUP(D129,Poeng!$B$10:$BK$252,Poeng!BK$1,FALSE)</f>
        <v>N/A</v>
      </c>
      <c r="X129" s="81"/>
      <c r="Y129" s="80"/>
      <c r="Z129" s="738"/>
      <c r="AC129" s="107">
        <f t="shared" si="12"/>
        <v>1</v>
      </c>
      <c r="AD129" s="3" t="e">
        <f>VLOOKUP(K129,'Assessment Details'!$O$45:$P$48,2,FALSE)</f>
        <v>#N/A</v>
      </c>
      <c r="AE129" s="3" t="e">
        <f>VLOOKUP(R129,'Assessment Details'!$O$45:$P$48,2,FALSE)</f>
        <v>#N/A</v>
      </c>
      <c r="AF129" s="3" t="e">
        <f>VLOOKUP(Y129,'Assessment Details'!$O$45:$P$48,2,FALSE)</f>
        <v>#N/A</v>
      </c>
    </row>
    <row r="130" spans="1:52" x14ac:dyDescent="0.25">
      <c r="A130" s="1076">
        <v>121</v>
      </c>
      <c r="B130" s="1077" t="s">
        <v>68</v>
      </c>
      <c r="C130" s="924" t="s">
        <v>175</v>
      </c>
      <c r="D130" s="824" t="s">
        <v>175</v>
      </c>
      <c r="E130" s="860" t="str">
        <f>VLOOKUP(D130,Poeng!$B$10:$R$252,Poeng!E$1,FALSE)</f>
        <v>Mat 05 Designing for durability and climate adaption</v>
      </c>
      <c r="F130" s="865">
        <f>VLOOKUP(D130,Poeng!$B$10:$AB$252,Poeng!AB$1,FALSE)</f>
        <v>4</v>
      </c>
      <c r="G130" s="1001"/>
      <c r="H130" s="866" t="str">
        <f>VLOOKUP(D130,Poeng!$B$10:$AI$252,Poeng!AI$1,FALSE)&amp;" c. "&amp;ROUND(VLOOKUP(D130,Poeng!$B$10:$AE$252,Poeng!AE$1,FALSE)*100,1)&amp;" %"</f>
        <v>0 c. 0 %</v>
      </c>
      <c r="I130" s="924" t="str">
        <f>VLOOKUP(D130,Poeng!$B$10:$BE$252,Poeng!BE$1,FALSE)</f>
        <v>N/A</v>
      </c>
      <c r="J130" s="80"/>
      <c r="K130" s="281"/>
      <c r="L130" s="796"/>
      <c r="M130" s="816"/>
      <c r="N130" s="1001"/>
      <c r="O130" s="877" t="str">
        <f>VLOOKUP(D130,Poeng!$B$10:$BC$252,Poeng!AJ$1,FALSE)&amp;" c. "&amp;ROUND(VLOOKUP(D130,Poeng!$B$10:$BC$252,Poeng!AF$1,FALSE)*100,1)&amp;" %"</f>
        <v>0 c. 0 %</v>
      </c>
      <c r="P130" s="123" t="str">
        <f>VLOOKUP(D130,Poeng!$B$10:$BH$252,Poeng!BH$1,FALSE)</f>
        <v>N/A</v>
      </c>
      <c r="Q130" s="744"/>
      <c r="R130" s="745"/>
      <c r="S130" s="738"/>
      <c r="T130" s="319"/>
      <c r="U130" s="1001"/>
      <c r="V130" s="877" t="str">
        <f>VLOOKUP(D130,Poeng!$B$10:$BC$252,Poeng!AK$1,FALSE)&amp;" c. "&amp;ROUND(VLOOKUP(D130,Poeng!$B$10:$BC$252,Poeng!AG$1,FALSE)*100,1)&amp;" %"</f>
        <v>0 c. 0 %</v>
      </c>
      <c r="W130" s="123" t="str">
        <f>VLOOKUP(D130,Poeng!$B$10:$BK$252,Poeng!BK$1,FALSE)</f>
        <v>N/A</v>
      </c>
      <c r="X130" s="81"/>
      <c r="Y130" s="80"/>
      <c r="Z130" s="738"/>
      <c r="AA130" s="133"/>
      <c r="AB130" s="640" t="s">
        <v>13</v>
      </c>
      <c r="AC130" s="107">
        <f t="shared" si="12"/>
        <v>1</v>
      </c>
      <c r="AD130" s="3" t="e">
        <f>VLOOKUP(K130,'Assessment Details'!$O$45:$P$48,2,FALSE)</f>
        <v>#N/A</v>
      </c>
      <c r="AE130" s="3" t="e">
        <f>VLOOKUP(R130,'Assessment Details'!$O$45:$P$48,2,FALSE)</f>
        <v>#N/A</v>
      </c>
      <c r="AF130" s="3" t="e">
        <f>VLOOKUP(Y130,'Assessment Details'!$O$45:$P$48,2,FALSE)</f>
        <v>#N/A</v>
      </c>
      <c r="AI130" s="70" t="str">
        <f>ais_ja</f>
        <v>Ja</v>
      </c>
      <c r="AJ130" s="671" t="s">
        <v>158</v>
      </c>
      <c r="AK130" s="648" t="s">
        <v>406</v>
      </c>
      <c r="AL130" s="648" t="s">
        <v>410</v>
      </c>
      <c r="AM130" s="648" t="s">
        <v>408</v>
      </c>
      <c r="AN130" s="70"/>
      <c r="AO130" s="70"/>
      <c r="AP130" s="70"/>
      <c r="AR130" s="1" t="s">
        <v>13</v>
      </c>
      <c r="AS130" s="23" t="str">
        <f t="shared" si="13"/>
        <v>N/A</v>
      </c>
      <c r="AT130" s="23" t="str">
        <f t="shared" si="14"/>
        <v>N/A</v>
      </c>
      <c r="AU130" s="23" t="str">
        <f t="shared" si="15"/>
        <v>N/A</v>
      </c>
      <c r="AV130" s="23"/>
      <c r="AW130" s="23"/>
      <c r="AX130" s="23"/>
      <c r="AZ130" s="642"/>
    </row>
    <row r="131" spans="1:52" x14ac:dyDescent="0.25">
      <c r="A131" s="1076">
        <v>122</v>
      </c>
      <c r="B131" s="1077" t="s">
        <v>68</v>
      </c>
      <c r="C131" s="1082" t="str">
        <f t="shared" si="19"/>
        <v>Mat 05</v>
      </c>
      <c r="D131" s="824" t="s">
        <v>779</v>
      </c>
      <c r="E131" s="861" t="str">
        <f>VLOOKUP(D131,Poeng!$B$10:$R$252,Poeng!E$1,FALSE)</f>
        <v>Pre-requisite: risk analysis</v>
      </c>
      <c r="F131" s="122" t="str">
        <f>VLOOKUP(D131,Poeng!$B$10:$AB$252,Poeng!AB$1,FALSE)</f>
        <v>Yes/No</v>
      </c>
      <c r="G131" s="43"/>
      <c r="H131" s="123" t="str">
        <f>VLOOKUP(D131,Poeng!$B$10:$AE$252,Poeng!AE$1,FALSE)</f>
        <v>-</v>
      </c>
      <c r="I131" s="124" t="str">
        <f>VLOOKUP(D131,Poeng!$B$10:$BE$252,Poeng!BE$1,FALSE)</f>
        <v>N/A</v>
      </c>
      <c r="J131" s="80"/>
      <c r="K131" s="281"/>
      <c r="L131" s="796"/>
      <c r="M131" s="816"/>
      <c r="N131" s="83"/>
      <c r="O131" s="123" t="str">
        <f>VLOOKUP(D131,Poeng!$B$10:$BC$252,Poeng!AF$1,FALSE)</f>
        <v>-</v>
      </c>
      <c r="P131" s="123" t="str">
        <f>VLOOKUP(D131,Poeng!$B$10:$BH$252,Poeng!BH$1,FALSE)</f>
        <v>N/A</v>
      </c>
      <c r="Q131" s="744"/>
      <c r="R131" s="745"/>
      <c r="S131" s="738"/>
      <c r="T131" s="319"/>
      <c r="U131" s="83"/>
      <c r="V131" s="123" t="str">
        <f>VLOOKUP(D131,Poeng!$B$10:$BC$252,Poeng!AG$1,FALSE)</f>
        <v>-</v>
      </c>
      <c r="W131" s="123" t="str">
        <f>VLOOKUP(D131,Poeng!$B$10:$BK$252,Poeng!BK$1,FALSE)</f>
        <v>N/A</v>
      </c>
      <c r="X131" s="81"/>
      <c r="Y131" s="80"/>
      <c r="Z131" s="738"/>
      <c r="AA131" s="133"/>
      <c r="AB131" s="714"/>
      <c r="AC131" s="107">
        <f t="shared" si="12"/>
        <v>1</v>
      </c>
      <c r="AD131" s="3" t="e">
        <f>VLOOKUP(K131,'Assessment Details'!$O$45:$P$48,2,FALSE)</f>
        <v>#N/A</v>
      </c>
      <c r="AE131" s="3" t="e">
        <f>VLOOKUP(R131,'Assessment Details'!$O$45:$P$48,2,FALSE)</f>
        <v>#N/A</v>
      </c>
      <c r="AF131" s="3" t="e">
        <f>VLOOKUP(Y131,'Assessment Details'!$O$45:$P$48,2,FALSE)</f>
        <v>#N/A</v>
      </c>
      <c r="AI131" s="70"/>
      <c r="AJ131" s="671"/>
      <c r="AK131" s="648"/>
      <c r="AL131" s="648"/>
      <c r="AM131" s="648"/>
      <c r="AN131" s="70"/>
      <c r="AO131" s="70"/>
      <c r="AP131" s="70"/>
      <c r="AS131" s="23"/>
      <c r="AT131" s="23"/>
      <c r="AU131" s="23"/>
      <c r="AV131" s="23"/>
      <c r="AW131" s="23"/>
      <c r="AX131" s="23"/>
      <c r="AZ131" s="715"/>
    </row>
    <row r="132" spans="1:52" x14ac:dyDescent="0.25">
      <c r="A132" s="1076">
        <v>123</v>
      </c>
      <c r="B132" s="1077" t="s">
        <v>68</v>
      </c>
      <c r="C132" s="1082" t="str">
        <f t="shared" si="19"/>
        <v>Mat 05</v>
      </c>
      <c r="D132" s="824" t="s">
        <v>780</v>
      </c>
      <c r="E132" s="861" t="str">
        <f>VLOOKUP(D132,Poeng!$B$10:$R$252,Poeng!E$1,FALSE)</f>
        <v>Protect vulnerable parts of the building from damage</v>
      </c>
      <c r="F132" s="122">
        <f>VLOOKUP(D132,Poeng!$B$10:$AB$252,Poeng!AB$1,FALSE)</f>
        <v>1</v>
      </c>
      <c r="G132" s="1073"/>
      <c r="H132" s="123">
        <f>VLOOKUP(D132,Poeng!$B$10:$AE$252,Poeng!AE$1,FALSE)</f>
        <v>0</v>
      </c>
      <c r="I132" s="124" t="str">
        <f>VLOOKUP(D132,Poeng!$B$10:$BE$252,Poeng!BE$1,FALSE)</f>
        <v>N/A</v>
      </c>
      <c r="J132" s="80"/>
      <c r="K132" s="281"/>
      <c r="L132" s="796"/>
      <c r="M132" s="816"/>
      <c r="N132" s="83"/>
      <c r="O132" s="123">
        <f>VLOOKUP(D132,Poeng!$B$10:$BC$252,Poeng!AF$1,FALSE)</f>
        <v>0</v>
      </c>
      <c r="P132" s="123" t="str">
        <f>VLOOKUP(D132,Poeng!$B$10:$BH$252,Poeng!BH$1,FALSE)</f>
        <v>N/A</v>
      </c>
      <c r="Q132" s="744"/>
      <c r="R132" s="745"/>
      <c r="S132" s="738"/>
      <c r="T132" s="319"/>
      <c r="U132" s="83"/>
      <c r="V132" s="123">
        <f>VLOOKUP(D132,Poeng!$B$10:$BC$252,Poeng!AG$1,FALSE)</f>
        <v>0</v>
      </c>
      <c r="W132" s="123" t="str">
        <f>VLOOKUP(D132,Poeng!$B$10:$BK$252,Poeng!BK$1,FALSE)</f>
        <v>N/A</v>
      </c>
      <c r="X132" s="81"/>
      <c r="Y132" s="80"/>
      <c r="Z132" s="738"/>
      <c r="AA132" s="133"/>
      <c r="AB132" s="714"/>
      <c r="AC132" s="107">
        <f t="shared" si="12"/>
        <v>1</v>
      </c>
      <c r="AD132" s="3" t="e">
        <f>VLOOKUP(K132,'Assessment Details'!$O$45:$P$48,2,FALSE)</f>
        <v>#N/A</v>
      </c>
      <c r="AE132" s="3" t="e">
        <f>VLOOKUP(R132,'Assessment Details'!$O$45:$P$48,2,FALSE)</f>
        <v>#N/A</v>
      </c>
      <c r="AF132" s="3" t="e">
        <f>VLOOKUP(Y132,'Assessment Details'!$O$45:$P$48,2,FALSE)</f>
        <v>#N/A</v>
      </c>
      <c r="AI132" s="70"/>
      <c r="AJ132" s="671"/>
      <c r="AK132" s="648"/>
      <c r="AL132" s="648"/>
      <c r="AM132" s="648"/>
      <c r="AN132" s="70"/>
      <c r="AO132" s="70"/>
      <c r="AP132" s="70"/>
      <c r="AS132" s="23"/>
      <c r="AT132" s="23"/>
      <c r="AU132" s="23"/>
      <c r="AV132" s="23"/>
      <c r="AW132" s="23"/>
      <c r="AX132" s="23"/>
      <c r="AZ132" s="715"/>
    </row>
    <row r="133" spans="1:52" x14ac:dyDescent="0.25">
      <c r="A133" s="1076">
        <v>124</v>
      </c>
      <c r="B133" s="1077" t="s">
        <v>68</v>
      </c>
      <c r="C133" s="1082" t="str">
        <f t="shared" si="19"/>
        <v>Mat 05</v>
      </c>
      <c r="D133" s="824" t="s">
        <v>781</v>
      </c>
      <c r="E133" s="1071" t="str">
        <f>VLOOKUP(D133,Poeng!$B$10:$R$252,Poeng!E$1,FALSE)</f>
        <v xml:space="preserve">Protecting exposed parts of the building from material degradation </v>
      </c>
      <c r="F133" s="122">
        <f>VLOOKUP(D133,Poeng!$B$10:$AB$252,Poeng!AB$1,FALSE)</f>
        <v>1</v>
      </c>
      <c r="G133" s="1073"/>
      <c r="H133" s="123">
        <f>VLOOKUP(D133,Poeng!$B$10:$AE$252,Poeng!AE$1,FALSE)</f>
        <v>0</v>
      </c>
      <c r="I133" s="124" t="str">
        <f>VLOOKUP(D133,Poeng!$B$10:$BE$252,Poeng!BE$1,FALSE)</f>
        <v>N/A</v>
      </c>
      <c r="J133" s="80"/>
      <c r="K133" s="281"/>
      <c r="L133" s="796"/>
      <c r="M133" s="816"/>
      <c r="N133" s="83"/>
      <c r="O133" s="123">
        <f>VLOOKUP(D133,Poeng!$B$10:$BC$252,Poeng!AF$1,FALSE)</f>
        <v>0</v>
      </c>
      <c r="P133" s="123" t="str">
        <f>VLOOKUP(D133,Poeng!$B$10:$BH$252,Poeng!BH$1,FALSE)</f>
        <v>N/A</v>
      </c>
      <c r="Q133" s="744"/>
      <c r="R133" s="745"/>
      <c r="S133" s="738"/>
      <c r="T133" s="319"/>
      <c r="U133" s="83"/>
      <c r="V133" s="123">
        <f>VLOOKUP(D133,Poeng!$B$10:$BC$252,Poeng!AG$1,FALSE)</f>
        <v>0</v>
      </c>
      <c r="W133" s="123" t="str">
        <f>VLOOKUP(D133,Poeng!$B$10:$BK$252,Poeng!BK$1,FALSE)</f>
        <v>N/A</v>
      </c>
      <c r="X133" s="81"/>
      <c r="Y133" s="80"/>
      <c r="Z133" s="738"/>
      <c r="AA133" s="133"/>
      <c r="AB133" s="714"/>
      <c r="AC133" s="107">
        <f t="shared" si="12"/>
        <v>1</v>
      </c>
      <c r="AD133" s="3" t="e">
        <f>VLOOKUP(K133,'Assessment Details'!$O$45:$P$48,2,FALSE)</f>
        <v>#N/A</v>
      </c>
      <c r="AE133" s="3" t="e">
        <f>VLOOKUP(R133,'Assessment Details'!$O$45:$P$48,2,FALSE)</f>
        <v>#N/A</v>
      </c>
      <c r="AF133" s="3" t="e">
        <f>VLOOKUP(Y133,'Assessment Details'!$O$45:$P$48,2,FALSE)</f>
        <v>#N/A</v>
      </c>
      <c r="AI133" s="70"/>
      <c r="AJ133" s="671"/>
      <c r="AK133" s="648"/>
      <c r="AL133" s="648"/>
      <c r="AM133" s="648"/>
      <c r="AN133" s="70"/>
      <c r="AO133" s="70"/>
      <c r="AP133" s="70"/>
      <c r="AS133" s="23"/>
      <c r="AT133" s="23"/>
      <c r="AU133" s="23"/>
      <c r="AV133" s="23"/>
      <c r="AW133" s="23"/>
      <c r="AX133" s="23"/>
      <c r="AZ133" s="715"/>
    </row>
    <row r="134" spans="1:52" x14ac:dyDescent="0.25">
      <c r="A134" s="1076">
        <v>125</v>
      </c>
      <c r="B134" s="1077" t="s">
        <v>68</v>
      </c>
      <c r="C134" s="1082" t="str">
        <f t="shared" si="19"/>
        <v>Mat 05</v>
      </c>
      <c r="D134" s="824" t="s">
        <v>782</v>
      </c>
      <c r="E134" s="1071" t="str">
        <f>VLOOKUP(D134,Poeng!$B$10:$R$252,Poeng!E$1,FALSE)</f>
        <v>Control plan and moisture measurements</v>
      </c>
      <c r="F134" s="122">
        <f>VLOOKUP(D134,Poeng!$B$10:$AB$252,Poeng!AB$1,FALSE)</f>
        <v>1</v>
      </c>
      <c r="G134" s="1073"/>
      <c r="H134" s="123">
        <f>VLOOKUP(D134,Poeng!$B$10:$AE$252,Poeng!AE$1,FALSE)</f>
        <v>0</v>
      </c>
      <c r="I134" s="124" t="str">
        <f>VLOOKUP(D134,Poeng!$B$10:$BE$252,Poeng!BE$1,FALSE)</f>
        <v>Very Good</v>
      </c>
      <c r="J134" s="80"/>
      <c r="K134" s="281"/>
      <c r="L134" s="796"/>
      <c r="M134" s="816"/>
      <c r="N134" s="83"/>
      <c r="O134" s="123">
        <f>VLOOKUP(D134,Poeng!$B$10:$BC$252,Poeng!AF$1,FALSE)</f>
        <v>0</v>
      </c>
      <c r="P134" s="123" t="str">
        <f>VLOOKUP(D134,Poeng!$B$10:$BH$252,Poeng!BH$1,FALSE)</f>
        <v>Very Good</v>
      </c>
      <c r="Q134" s="744"/>
      <c r="R134" s="745"/>
      <c r="S134" s="738"/>
      <c r="T134" s="319"/>
      <c r="U134" s="83"/>
      <c r="V134" s="123">
        <f>VLOOKUP(D134,Poeng!$B$10:$BC$252,Poeng!AG$1,FALSE)</f>
        <v>0</v>
      </c>
      <c r="W134" s="123" t="str">
        <f>VLOOKUP(D134,Poeng!$B$10:$BK$252,Poeng!BK$1,FALSE)</f>
        <v>Very Good</v>
      </c>
      <c r="X134" s="81"/>
      <c r="Y134" s="80"/>
      <c r="Z134" s="738"/>
      <c r="AA134" s="133"/>
      <c r="AB134" s="714"/>
      <c r="AC134" s="107">
        <f t="shared" si="12"/>
        <v>1</v>
      </c>
      <c r="AD134" s="3" t="e">
        <f>VLOOKUP(K134,'Assessment Details'!$O$45:$P$48,2,FALSE)</f>
        <v>#N/A</v>
      </c>
      <c r="AE134" s="3" t="e">
        <f>VLOOKUP(R134,'Assessment Details'!$O$45:$P$48,2,FALSE)</f>
        <v>#N/A</v>
      </c>
      <c r="AF134" s="3" t="e">
        <f>VLOOKUP(Y134,'Assessment Details'!$O$45:$P$48,2,FALSE)</f>
        <v>#N/A</v>
      </c>
      <c r="AI134" s="70"/>
      <c r="AJ134" s="671"/>
      <c r="AK134" s="648"/>
      <c r="AL134" s="648"/>
      <c r="AM134" s="648"/>
      <c r="AN134" s="70"/>
      <c r="AO134" s="70"/>
      <c r="AP134" s="70"/>
      <c r="AS134" s="23"/>
      <c r="AT134" s="23"/>
      <c r="AU134" s="23"/>
      <c r="AV134" s="23"/>
      <c r="AW134" s="23"/>
      <c r="AX134" s="23"/>
      <c r="AZ134" s="715"/>
    </row>
    <row r="135" spans="1:52" x14ac:dyDescent="0.25">
      <c r="A135" s="1076">
        <v>126</v>
      </c>
      <c r="B135" s="1077" t="s">
        <v>68</v>
      </c>
      <c r="C135" s="1082" t="str">
        <f t="shared" si="19"/>
        <v>Mat 05</v>
      </c>
      <c r="D135" s="824" t="s">
        <v>895</v>
      </c>
      <c r="E135" s="861" t="str">
        <f>VLOOKUP(D135,Poeng!$B$10:$R$252,Poeng!E$1,FALSE)</f>
        <v>Construction under cover</v>
      </c>
      <c r="F135" s="122">
        <f>VLOOKUP(D135,Poeng!$B$10:$AB$252,Poeng!AB$1,FALSE)</f>
        <v>1</v>
      </c>
      <c r="G135" s="1073"/>
      <c r="H135" s="123">
        <f>VLOOKUP(D135,Poeng!$B$10:$AE$252,Poeng!AE$1,FALSE)</f>
        <v>0</v>
      </c>
      <c r="I135" s="124" t="str">
        <f>VLOOKUP(D135,Poeng!$B$10:$BE$252,Poeng!BE$1,FALSE)</f>
        <v>N/A</v>
      </c>
      <c r="J135" s="80"/>
      <c r="K135" s="281"/>
      <c r="L135" s="796"/>
      <c r="M135" s="816"/>
      <c r="N135" s="83"/>
      <c r="O135" s="123">
        <f>VLOOKUP(D135,Poeng!$B$10:$BC$252,Poeng!AF$1,FALSE)</f>
        <v>0</v>
      </c>
      <c r="P135" s="123" t="str">
        <f>VLOOKUP(D135,Poeng!$B$10:$BH$252,Poeng!BH$1,FALSE)</f>
        <v>N/A</v>
      </c>
      <c r="Q135" s="744"/>
      <c r="R135" s="745"/>
      <c r="S135" s="738"/>
      <c r="T135" s="319"/>
      <c r="U135" s="83"/>
      <c r="V135" s="123">
        <f>VLOOKUP(D135,Poeng!$B$10:$BC$252,Poeng!AG$1,FALSE)</f>
        <v>0</v>
      </c>
      <c r="W135" s="123" t="str">
        <f>VLOOKUP(D135,Poeng!$B$10:$BK$252,Poeng!BK$1,FALSE)</f>
        <v>N/A</v>
      </c>
      <c r="X135" s="81"/>
      <c r="Y135" s="80"/>
      <c r="Z135" s="738"/>
      <c r="AA135" s="133"/>
      <c r="AB135" s="714"/>
      <c r="AC135" s="107">
        <f t="shared" si="12"/>
        <v>1</v>
      </c>
      <c r="AD135" s="3" t="e">
        <f>VLOOKUP(K135,'Assessment Details'!$O$45:$P$48,2,FALSE)</f>
        <v>#N/A</v>
      </c>
      <c r="AE135" s="3" t="e">
        <f>VLOOKUP(R135,'Assessment Details'!$O$45:$P$48,2,FALSE)</f>
        <v>#N/A</v>
      </c>
      <c r="AF135" s="3" t="e">
        <f>VLOOKUP(Y135,'Assessment Details'!$O$45:$P$48,2,FALSE)</f>
        <v>#N/A</v>
      </c>
      <c r="AI135" s="70"/>
      <c r="AJ135" s="671"/>
      <c r="AK135" s="648"/>
      <c r="AL135" s="648"/>
      <c r="AM135" s="648"/>
      <c r="AN135" s="70"/>
      <c r="AO135" s="70"/>
      <c r="AP135" s="70"/>
      <c r="AS135" s="23"/>
      <c r="AT135" s="23"/>
      <c r="AU135" s="23"/>
      <c r="AV135" s="23"/>
      <c r="AW135" s="23"/>
      <c r="AX135" s="23"/>
      <c r="AZ135" s="715"/>
    </row>
    <row r="136" spans="1:52" x14ac:dyDescent="0.25">
      <c r="A136" s="1076">
        <v>127</v>
      </c>
      <c r="B136" s="1077" t="s">
        <v>68</v>
      </c>
      <c r="C136" s="924" t="s">
        <v>176</v>
      </c>
      <c r="D136" s="824" t="s">
        <v>176</v>
      </c>
      <c r="E136" s="860" t="str">
        <f>VLOOKUP(D136,Poeng!$B$10:$R$252,Poeng!E$1,FALSE)</f>
        <v>Mat 06 Material efficiency</v>
      </c>
      <c r="F136" s="865">
        <f>VLOOKUP(D136,Poeng!$B$10:$AB$252,Poeng!AB$1,FALSE)</f>
        <v>3</v>
      </c>
      <c r="G136" s="1001"/>
      <c r="H136" s="866" t="str">
        <f>VLOOKUP(D136,Poeng!$B$10:$AI$252,Poeng!AI$1,FALSE)&amp;" c. "&amp;ROUND(VLOOKUP(D136,Poeng!$B$10:$AE$252,Poeng!AE$1,FALSE)*100,1)&amp;" %"</f>
        <v>0 c. 0 %</v>
      </c>
      <c r="I136" s="924" t="str">
        <f>VLOOKUP(D136,Poeng!$B$10:$BE$252,Poeng!BE$1,FALSE)</f>
        <v>N/A</v>
      </c>
      <c r="J136" s="80"/>
      <c r="K136" s="281"/>
      <c r="L136" s="796"/>
      <c r="M136" s="816"/>
      <c r="N136" s="1001"/>
      <c r="O136" s="877" t="str">
        <f>VLOOKUP(D136,Poeng!$B$10:$BC$252,Poeng!AJ$1,FALSE)&amp;" c. "&amp;ROUND(VLOOKUP(D136,Poeng!$B$10:$BC$252,Poeng!AF$1,FALSE)*100,1)&amp;" %"</f>
        <v>0 c. 0 %</v>
      </c>
      <c r="P136" s="123" t="str">
        <f>VLOOKUP(D136,Poeng!$B$10:$BH$252,Poeng!BH$1,FALSE)</f>
        <v>N/A</v>
      </c>
      <c r="Q136" s="744"/>
      <c r="R136" s="745"/>
      <c r="S136" s="738"/>
      <c r="T136" s="319"/>
      <c r="U136" s="1001"/>
      <c r="V136" s="877" t="str">
        <f>VLOOKUP(D136,Poeng!$B$10:$BC$252,Poeng!AK$1,FALSE)&amp;" c. "&amp;ROUND(VLOOKUP(D136,Poeng!$B$10:$BC$252,Poeng!AG$1,FALSE)*100,1)&amp;" %"</f>
        <v>0 c. 0 %</v>
      </c>
      <c r="W136" s="123" t="str">
        <f>VLOOKUP(D136,Poeng!$B$10:$BK$252,Poeng!BK$1,FALSE)</f>
        <v>N/A</v>
      </c>
      <c r="X136" s="81"/>
      <c r="Y136" s="80"/>
      <c r="Z136" s="738"/>
      <c r="AA136" s="133"/>
      <c r="AB136" s="714"/>
      <c r="AC136" s="107">
        <f t="shared" si="12"/>
        <v>1</v>
      </c>
      <c r="AD136" s="3" t="e">
        <f>VLOOKUP(K136,'Assessment Details'!$O$45:$P$48,2,FALSE)</f>
        <v>#N/A</v>
      </c>
      <c r="AE136" s="3" t="e">
        <f>VLOOKUP(R136,'Assessment Details'!$O$45:$P$48,2,FALSE)</f>
        <v>#N/A</v>
      </c>
      <c r="AF136" s="3" t="e">
        <f>VLOOKUP(Y136,'Assessment Details'!$O$45:$P$48,2,FALSE)</f>
        <v>#N/A</v>
      </c>
      <c r="AI136" s="70"/>
      <c r="AJ136" s="671"/>
      <c r="AK136" s="648"/>
      <c r="AL136" s="648"/>
      <c r="AM136" s="648"/>
      <c r="AN136" s="70"/>
      <c r="AO136" s="70"/>
      <c r="AP136" s="70"/>
      <c r="AS136" s="23"/>
      <c r="AT136" s="23"/>
      <c r="AU136" s="23"/>
      <c r="AV136" s="23"/>
      <c r="AW136" s="23"/>
      <c r="AX136" s="23"/>
      <c r="AZ136" s="715"/>
    </row>
    <row r="137" spans="1:52" ht="30" x14ac:dyDescent="0.25">
      <c r="A137" s="1076">
        <v>128</v>
      </c>
      <c r="B137" s="1077" t="s">
        <v>68</v>
      </c>
      <c r="C137" s="1082" t="str">
        <f>C136</f>
        <v>Mat 06</v>
      </c>
      <c r="D137" s="824" t="s">
        <v>1024</v>
      </c>
      <c r="E137" s="1071" t="str">
        <f>VLOOKUP(D137,Poeng!$B$10:$R$252,Poeng!E$1,FALSE)</f>
        <v>Minimum req: mapping for component reuse - criterion 1 (EU taxonomy requirement: criterion 1)</v>
      </c>
      <c r="F137" s="122" t="str">
        <f>VLOOKUP(D137,Poeng!$B$10:$AB$252,Poeng!AB$1,FALSE)</f>
        <v>Yes/No</v>
      </c>
      <c r="G137" s="43"/>
      <c r="H137" s="123" t="str">
        <f>VLOOKUP(D137,Poeng!$B$10:$AE$252,Poeng!AE$1,FALSE)</f>
        <v>-</v>
      </c>
      <c r="I137" s="124" t="str">
        <f>VLOOKUP(D137,Poeng!$B$10:$BE$252,Poeng!BE$1,FALSE)</f>
        <v>Unclassified</v>
      </c>
      <c r="J137" s="80"/>
      <c r="K137" s="281"/>
      <c r="L137" s="796"/>
      <c r="M137" s="816"/>
      <c r="N137" s="83"/>
      <c r="O137" s="123" t="str">
        <f>VLOOKUP(D137,Poeng!$B$10:$BC$252,Poeng!AF$1,FALSE)</f>
        <v>-</v>
      </c>
      <c r="P137" s="123" t="str">
        <f>VLOOKUP(D137,Poeng!$B$10:$BH$252,Poeng!BH$1,FALSE)</f>
        <v>Unclassified</v>
      </c>
      <c r="Q137" s="744"/>
      <c r="R137" s="745"/>
      <c r="S137" s="738"/>
      <c r="T137" s="319"/>
      <c r="U137" s="83"/>
      <c r="V137" s="123" t="str">
        <f>VLOOKUP(D137,Poeng!$B$10:$BC$252,Poeng!AG$1,FALSE)</f>
        <v>-</v>
      </c>
      <c r="W137" s="123" t="str">
        <f>VLOOKUP(D137,Poeng!$B$10:$BK$252,Poeng!BK$1,FALSE)</f>
        <v>Unclassified</v>
      </c>
      <c r="X137" s="81"/>
      <c r="Y137" s="80"/>
      <c r="Z137" s="738"/>
      <c r="AA137" s="133"/>
      <c r="AB137" s="864"/>
      <c r="AC137" s="107">
        <f t="shared" ref="AC137" si="20">IF(F137="",1,IF(F137=0,2,1))</f>
        <v>1</v>
      </c>
      <c r="AD137" s="3" t="e">
        <f>VLOOKUP(K137,'Assessment Details'!$O$45:$P$48,2,FALSE)</f>
        <v>#N/A</v>
      </c>
      <c r="AE137" s="3" t="e">
        <f>VLOOKUP(R137,'Assessment Details'!$O$45:$P$48,2,FALSE)</f>
        <v>#N/A</v>
      </c>
      <c r="AF137" s="3" t="e">
        <f>VLOOKUP(Y137,'Assessment Details'!$O$45:$P$48,2,FALSE)</f>
        <v>#N/A</v>
      </c>
      <c r="AI137" s="3"/>
      <c r="AJ137" s="3"/>
      <c r="AK137" s="727"/>
      <c r="AL137" s="727"/>
      <c r="AM137" s="727"/>
      <c r="AN137" s="3"/>
      <c r="AO137" s="3"/>
      <c r="AP137" s="3"/>
      <c r="AS137" s="23"/>
      <c r="AT137" s="23"/>
      <c r="AU137" s="23"/>
      <c r="AV137" s="23"/>
      <c r="AW137" s="23"/>
      <c r="AX137" s="23"/>
      <c r="AZ137" s="864"/>
    </row>
    <row r="138" spans="1:52" x14ac:dyDescent="0.25">
      <c r="A138" s="1076">
        <v>129</v>
      </c>
      <c r="B138" s="1077" t="s">
        <v>68</v>
      </c>
      <c r="C138" s="1082" t="str">
        <f>C136</f>
        <v>Mat 06</v>
      </c>
      <c r="D138" s="19" t="s">
        <v>783</v>
      </c>
      <c r="E138" s="1071" t="str">
        <f>VLOOKUP(D138,Poeng!$B$10:$R$252,Poeng!E$1,FALSE)</f>
        <v>Mapping for component reuse and implementation</v>
      </c>
      <c r="F138" s="122">
        <f>VLOOKUP(D138,Poeng!$B$10:$AB$252,Poeng!AB$1,FALSE)</f>
        <v>1</v>
      </c>
      <c r="G138" s="43"/>
      <c r="H138" s="123">
        <f>VLOOKUP(D138,Poeng!$B$10:$AE$252,Poeng!AE$1,FALSE)</f>
        <v>0</v>
      </c>
      <c r="I138" s="124" t="str">
        <f>VLOOKUP(D138,Poeng!$B$10:$BE$252,Poeng!BE$1,FALSE)</f>
        <v>Unclassified</v>
      </c>
      <c r="J138" s="80"/>
      <c r="K138" s="281"/>
      <c r="L138" s="796"/>
      <c r="M138" s="816"/>
      <c r="N138" s="83"/>
      <c r="O138" s="123">
        <f>VLOOKUP(D138,Poeng!$B$10:$BC$252,Poeng!AF$1,FALSE)</f>
        <v>0</v>
      </c>
      <c r="P138" s="123" t="str">
        <f>VLOOKUP(D138,Poeng!$B$10:$BH$252,Poeng!BH$1,FALSE)</f>
        <v>Unclassified</v>
      </c>
      <c r="Q138" s="744"/>
      <c r="R138" s="745"/>
      <c r="S138" s="738"/>
      <c r="T138" s="319"/>
      <c r="U138" s="83"/>
      <c r="V138" s="123">
        <f>VLOOKUP(D138,Poeng!$B$10:$BC$252,Poeng!AG$1,FALSE)</f>
        <v>0</v>
      </c>
      <c r="W138" s="123" t="str">
        <f>VLOOKUP(D138,Poeng!$B$10:$BK$252,Poeng!BK$1,FALSE)</f>
        <v>Unclassified</v>
      </c>
      <c r="X138" s="81"/>
      <c r="Y138" s="80"/>
      <c r="Z138" s="738"/>
      <c r="AC138" s="107">
        <f t="shared" si="12"/>
        <v>1</v>
      </c>
      <c r="AD138" s="3" t="e">
        <f>VLOOKUP(K138,'Assessment Details'!$O$45:$P$48,2,FALSE)</f>
        <v>#N/A</v>
      </c>
      <c r="AE138" s="3" t="e">
        <f>VLOOKUP(R138,'Assessment Details'!$O$45:$P$48,2,FALSE)</f>
        <v>#N/A</v>
      </c>
      <c r="AF138" s="3" t="e">
        <f>VLOOKUP(Y138,'Assessment Details'!$O$45:$P$48,2,FALSE)</f>
        <v>#N/A</v>
      </c>
    </row>
    <row r="139" spans="1:52" x14ac:dyDescent="0.25">
      <c r="A139" s="1076">
        <v>130</v>
      </c>
      <c r="B139" s="1077" t="s">
        <v>68</v>
      </c>
      <c r="C139" s="1082" t="str">
        <f t="shared" si="19"/>
        <v>Mat 06</v>
      </c>
      <c r="D139" s="19" t="s">
        <v>784</v>
      </c>
      <c r="E139" s="861" t="str">
        <f>VLOOKUP(D139,Poeng!$B$10:$R$252,Poeng!E$1,FALSE)</f>
        <v>Material efficency</v>
      </c>
      <c r="F139" s="122">
        <f>VLOOKUP(D139,Poeng!$B$10:$AB$252,Poeng!AB$1,FALSE)</f>
        <v>1</v>
      </c>
      <c r="G139" s="43"/>
      <c r="H139" s="123">
        <f>VLOOKUP(D139,Poeng!$B$10:$AE$252,Poeng!AE$1,FALSE)</f>
        <v>0</v>
      </c>
      <c r="I139" s="124" t="str">
        <f>VLOOKUP(D139,Poeng!$B$10:$BE$252,Poeng!BE$1,FALSE)</f>
        <v>N/A</v>
      </c>
      <c r="J139" s="80"/>
      <c r="K139" s="281"/>
      <c r="L139" s="796"/>
      <c r="M139" s="816"/>
      <c r="N139" s="83"/>
      <c r="O139" s="123">
        <f>VLOOKUP(D139,Poeng!$B$10:$BC$252,Poeng!AF$1,FALSE)</f>
        <v>0</v>
      </c>
      <c r="P139" s="123" t="str">
        <f>VLOOKUP(D139,Poeng!$B$10:$BH$252,Poeng!BH$1,FALSE)</f>
        <v>N/A</v>
      </c>
      <c r="Q139" s="744"/>
      <c r="R139" s="745"/>
      <c r="S139" s="738"/>
      <c r="T139" s="319"/>
      <c r="U139" s="83"/>
      <c r="V139" s="123">
        <f>VLOOKUP(D139,Poeng!$B$10:$BC$252,Poeng!AG$1,FALSE)</f>
        <v>0</v>
      </c>
      <c r="W139" s="123" t="str">
        <f>VLOOKUP(D139,Poeng!$B$10:$BK$252,Poeng!BK$1,FALSE)</f>
        <v>N/A</v>
      </c>
      <c r="X139" s="81"/>
      <c r="Y139" s="80"/>
      <c r="Z139" s="738"/>
      <c r="AC139" s="107">
        <f t="shared" si="12"/>
        <v>1</v>
      </c>
      <c r="AD139" s="3" t="e">
        <f>VLOOKUP(K139,'Assessment Details'!$O$45:$P$48,2,FALSE)</f>
        <v>#N/A</v>
      </c>
      <c r="AE139" s="3" t="e">
        <f>VLOOKUP(R139,'Assessment Details'!$O$45:$P$48,2,FALSE)</f>
        <v>#N/A</v>
      </c>
      <c r="AF139" s="3" t="e">
        <f>VLOOKUP(Y139,'Assessment Details'!$O$45:$P$48,2,FALSE)</f>
        <v>#N/A</v>
      </c>
    </row>
    <row r="140" spans="1:52" x14ac:dyDescent="0.25">
      <c r="A140" s="1076">
        <v>131</v>
      </c>
      <c r="B140" s="1077" t="s">
        <v>68</v>
      </c>
      <c r="C140" s="1082" t="str">
        <f t="shared" si="19"/>
        <v>Mat 06</v>
      </c>
      <c r="D140" s="19" t="s">
        <v>785</v>
      </c>
      <c r="E140" s="861" t="str">
        <f>VLOOKUP(D140,Poeng!$B$10:$R$252,Poeng!E$1,FALSE)</f>
        <v>Reuse of extern building components</v>
      </c>
      <c r="F140" s="122">
        <f>VLOOKUP(D140,Poeng!$B$10:$AB$252,Poeng!AB$1,FALSE)</f>
        <v>1</v>
      </c>
      <c r="G140" s="43"/>
      <c r="H140" s="123">
        <f>VLOOKUP(D140,Poeng!$B$10:$AE$252,Poeng!AE$1,FALSE)</f>
        <v>0</v>
      </c>
      <c r="I140" s="124" t="str">
        <f>VLOOKUP(D140,Poeng!$B$10:$BE$252,Poeng!BE$1,FALSE)</f>
        <v>N/A</v>
      </c>
      <c r="J140" s="80"/>
      <c r="K140" s="281"/>
      <c r="L140" s="796"/>
      <c r="M140" s="816"/>
      <c r="N140" s="83"/>
      <c r="O140" s="123">
        <f>VLOOKUP(D140,Poeng!$B$10:$BC$252,Poeng!AF$1,FALSE)</f>
        <v>0</v>
      </c>
      <c r="P140" s="123" t="str">
        <f>VLOOKUP(D140,Poeng!$B$10:$BH$252,Poeng!BH$1,FALSE)</f>
        <v>N/A</v>
      </c>
      <c r="Q140" s="744"/>
      <c r="R140" s="745"/>
      <c r="S140" s="738"/>
      <c r="T140" s="319"/>
      <c r="U140" s="83"/>
      <c r="V140" s="123">
        <f>VLOOKUP(D140,Poeng!$B$10:$BC$252,Poeng!AG$1,FALSE)</f>
        <v>0</v>
      </c>
      <c r="W140" s="123" t="str">
        <f>VLOOKUP(D140,Poeng!$B$10:$BK$252,Poeng!BK$1,FALSE)</f>
        <v>N/A</v>
      </c>
      <c r="X140" s="81"/>
      <c r="Y140" s="80"/>
      <c r="Z140" s="738"/>
      <c r="AC140" s="107">
        <f t="shared" si="12"/>
        <v>1</v>
      </c>
      <c r="AD140" s="3" t="e">
        <f>VLOOKUP(K140,'Assessment Details'!$O$45:$P$48,2,FALSE)</f>
        <v>#N/A</v>
      </c>
      <c r="AE140" s="3" t="e">
        <f>VLOOKUP(R140,'Assessment Details'!$O$45:$P$48,2,FALSE)</f>
        <v>#N/A</v>
      </c>
      <c r="AF140" s="3" t="e">
        <f>VLOOKUP(Y140,'Assessment Details'!$O$45:$P$48,2,FALSE)</f>
        <v>#N/A</v>
      </c>
    </row>
    <row r="141" spans="1:52" x14ac:dyDescent="0.25">
      <c r="A141" s="1076">
        <v>132</v>
      </c>
      <c r="B141" s="1077" t="s">
        <v>68</v>
      </c>
      <c r="C141" s="924" t="s">
        <v>479</v>
      </c>
      <c r="D141" s="824" t="s">
        <v>479</v>
      </c>
      <c r="E141" s="860" t="str">
        <f>VLOOKUP(D141,Poeng!$B$10:$R$252,Poeng!E$1,FALSE)</f>
        <v>Mat 07 Design for disassembly and adaptability</v>
      </c>
      <c r="F141" s="865">
        <f>VLOOKUP(D141,Poeng!$B$10:$AB$252,Poeng!AB$1,FALSE)</f>
        <v>3</v>
      </c>
      <c r="G141" s="1001"/>
      <c r="H141" s="866" t="str">
        <f>VLOOKUP(D141,Poeng!$B$10:$AI$252,Poeng!AI$1,FALSE)&amp;" c. "&amp;ROUND(VLOOKUP(D141,Poeng!$B$10:$AE$252,Poeng!AE$1,FALSE)*100,1)&amp;" %"</f>
        <v>0 c. 0 %</v>
      </c>
      <c r="I141" s="924" t="str">
        <f>VLOOKUP(D141,Poeng!$B$10:$BE$252,Poeng!BE$1,FALSE)</f>
        <v>N/A</v>
      </c>
      <c r="J141" s="80"/>
      <c r="K141" s="281"/>
      <c r="L141" s="796"/>
      <c r="M141" s="816"/>
      <c r="N141" s="1001"/>
      <c r="O141" s="877" t="str">
        <f>VLOOKUP(D141,Poeng!$B$10:$BC$252,Poeng!AJ$1,FALSE)&amp;" c. "&amp;ROUND(VLOOKUP(D141,Poeng!$B$10:$BC$252,Poeng!AF$1,FALSE)*100,1)&amp;" %"</f>
        <v>0 c. 0 %</v>
      </c>
      <c r="P141" s="123" t="str">
        <f>VLOOKUP(D141,Poeng!$B$10:$BH$252,Poeng!BH$1,FALSE)</f>
        <v>N/A</v>
      </c>
      <c r="Q141" s="744"/>
      <c r="R141" s="745"/>
      <c r="S141" s="738"/>
      <c r="T141" s="319"/>
      <c r="U141" s="1001"/>
      <c r="V141" s="877" t="str">
        <f>VLOOKUP(D141,Poeng!$B$10:$BC$252,Poeng!AK$1,FALSE)&amp;" c. "&amp;ROUND(VLOOKUP(D141,Poeng!$B$10:$BC$252,Poeng!AG$1,FALSE)*100,1)&amp;" %"</f>
        <v>0 c. 0 %</v>
      </c>
      <c r="W141" s="123" t="str">
        <f>VLOOKUP(D141,Poeng!$B$10:$BK$252,Poeng!BK$1,FALSE)</f>
        <v>N/A</v>
      </c>
      <c r="X141" s="81"/>
      <c r="Y141" s="80"/>
      <c r="Z141" s="738"/>
      <c r="AA141" s="133"/>
      <c r="AB141" s="714"/>
      <c r="AC141" s="107">
        <f t="shared" si="12"/>
        <v>1</v>
      </c>
      <c r="AD141" s="3" t="e">
        <f>VLOOKUP(K141,'Assessment Details'!$O$45:$P$48,2,FALSE)</f>
        <v>#N/A</v>
      </c>
      <c r="AE141" s="3" t="e">
        <f>VLOOKUP(R141,'Assessment Details'!$O$45:$P$48,2,FALSE)</f>
        <v>#N/A</v>
      </c>
      <c r="AF141" s="3" t="e">
        <f>VLOOKUP(Y141,'Assessment Details'!$O$45:$P$48,2,FALSE)</f>
        <v>#N/A</v>
      </c>
      <c r="AI141" s="70"/>
      <c r="AJ141" s="671"/>
      <c r="AK141" s="648"/>
      <c r="AL141" s="648"/>
      <c r="AM141" s="648"/>
      <c r="AN141" s="70"/>
      <c r="AO141" s="70"/>
      <c r="AP141" s="70"/>
      <c r="AS141" s="23"/>
      <c r="AT141" s="23"/>
      <c r="AU141" s="23"/>
      <c r="AV141" s="23"/>
      <c r="AW141" s="23"/>
      <c r="AX141" s="23"/>
      <c r="AZ141" s="715"/>
    </row>
    <row r="142" spans="1:52" x14ac:dyDescent="0.25">
      <c r="A142" s="1076">
        <v>133</v>
      </c>
      <c r="B142" s="1077" t="s">
        <v>68</v>
      </c>
      <c r="C142" s="1082" t="str">
        <f t="shared" si="19"/>
        <v>Mat 07</v>
      </c>
      <c r="D142" s="19" t="s">
        <v>786</v>
      </c>
      <c r="E142" s="861" t="str">
        <f>VLOOKUP(D142,Poeng!$B$10:$R$252,Poeng!E$1,FALSE)</f>
        <v>Resource inventory</v>
      </c>
      <c r="F142" s="122">
        <f>VLOOKUP(D142,Poeng!$B$10:$AB$252,Poeng!AB$1,FALSE)</f>
        <v>1</v>
      </c>
      <c r="G142" s="43"/>
      <c r="H142" s="123">
        <f>VLOOKUP(D142,Poeng!$B$10:$AE$252,Poeng!AE$1,FALSE)</f>
        <v>0</v>
      </c>
      <c r="I142" s="124" t="str">
        <f>VLOOKUP(D142,Poeng!$B$10:$BE$252,Poeng!BE$1,FALSE)</f>
        <v>N/A</v>
      </c>
      <c r="J142" s="80"/>
      <c r="K142" s="281"/>
      <c r="L142" s="796"/>
      <c r="M142" s="816"/>
      <c r="N142" s="83"/>
      <c r="O142" s="123">
        <f>VLOOKUP(D142,Poeng!$B$10:$BC$252,Poeng!AF$1,FALSE)</f>
        <v>0</v>
      </c>
      <c r="P142" s="123" t="str">
        <f>VLOOKUP(D142,Poeng!$B$10:$BH$252,Poeng!BH$1,FALSE)</f>
        <v>N/A</v>
      </c>
      <c r="Q142" s="744"/>
      <c r="R142" s="745"/>
      <c r="S142" s="738"/>
      <c r="T142" s="319"/>
      <c r="U142" s="83"/>
      <c r="V142" s="123">
        <f>VLOOKUP(D142,Poeng!$B$10:$BC$252,Poeng!AG$1,FALSE)</f>
        <v>0</v>
      </c>
      <c r="W142" s="123" t="str">
        <f>VLOOKUP(D142,Poeng!$B$10:$BK$252,Poeng!BK$1,FALSE)</f>
        <v>N/A</v>
      </c>
      <c r="X142" s="81"/>
      <c r="Y142" s="80"/>
      <c r="Z142" s="738"/>
      <c r="AC142" s="107">
        <f t="shared" si="12"/>
        <v>1</v>
      </c>
      <c r="AD142" s="3" t="e">
        <f>VLOOKUP(K142,'Assessment Details'!$O$45:$P$48,2,FALSE)</f>
        <v>#N/A</v>
      </c>
      <c r="AE142" s="3" t="e">
        <f>VLOOKUP(R142,'Assessment Details'!$O$45:$P$48,2,FALSE)</f>
        <v>#N/A</v>
      </c>
      <c r="AF142" s="3" t="e">
        <f>VLOOKUP(Y142,'Assessment Details'!$O$45:$P$48,2,FALSE)</f>
        <v>#N/A</v>
      </c>
    </row>
    <row r="143" spans="1:52" ht="30" x14ac:dyDescent="0.25">
      <c r="A143" s="1076">
        <v>134</v>
      </c>
      <c r="B143" s="1077" t="s">
        <v>68</v>
      </c>
      <c r="C143" s="1087" t="str">
        <f t="shared" si="19"/>
        <v>Mat 07</v>
      </c>
      <c r="D143" s="19" t="s">
        <v>787</v>
      </c>
      <c r="E143" s="1071" t="str">
        <f>VLOOKUP(D143,Poeng!$B$10:$R$252,Poeng!E$1,FALSE)</f>
        <v>Design for disassembly and functional adaptability - recommendations (EU taxonomy requirement: criterion 2-3)</v>
      </c>
      <c r="F143" s="122">
        <f>VLOOKUP(D143,Poeng!$B$10:$AB$252,Poeng!AB$1,FALSE)</f>
        <v>1</v>
      </c>
      <c r="G143" s="43"/>
      <c r="H143" s="123">
        <f>VLOOKUP(D143,Poeng!$B$10:$AE$252,Poeng!AE$1,FALSE)</f>
        <v>0</v>
      </c>
      <c r="I143" s="124" t="str">
        <f>VLOOKUP(D143,Poeng!$B$10:$BE$252,Poeng!BE$1,FALSE)</f>
        <v>Very Good</v>
      </c>
      <c r="J143" s="80"/>
      <c r="K143" s="281"/>
      <c r="L143" s="796"/>
      <c r="M143" s="816"/>
      <c r="N143" s="83"/>
      <c r="O143" s="123">
        <f>VLOOKUP(D143,Poeng!$B$10:$BC$252,Poeng!AF$1,FALSE)</f>
        <v>0</v>
      </c>
      <c r="P143" s="123" t="str">
        <f>VLOOKUP(D143,Poeng!$B$10:$BH$252,Poeng!BH$1,FALSE)</f>
        <v>Very Good</v>
      </c>
      <c r="Q143" s="744"/>
      <c r="R143" s="745"/>
      <c r="S143" s="738"/>
      <c r="T143" s="319"/>
      <c r="U143" s="83"/>
      <c r="V143" s="123">
        <f>VLOOKUP(D143,Poeng!$B$10:$BC$252,Poeng!AG$1,FALSE)</f>
        <v>0</v>
      </c>
      <c r="W143" s="123" t="str">
        <f>VLOOKUP(D143,Poeng!$B$10:$BK$252,Poeng!BK$1,FALSE)</f>
        <v>Very Good</v>
      </c>
      <c r="X143" s="81"/>
      <c r="Y143" s="80"/>
      <c r="Z143" s="738"/>
      <c r="AC143" s="107">
        <f t="shared" ref="AC143:AC211" si="21">IF(F143="",1,IF(F143=0,2,1))</f>
        <v>1</v>
      </c>
      <c r="AD143" s="3" t="e">
        <f>VLOOKUP(K143,'Assessment Details'!$O$45:$P$48,2,FALSE)</f>
        <v>#N/A</v>
      </c>
      <c r="AE143" s="3" t="e">
        <f>VLOOKUP(R143,'Assessment Details'!$O$45:$P$48,2,FALSE)</f>
        <v>#N/A</v>
      </c>
      <c r="AF143" s="3" t="e">
        <f>VLOOKUP(Y143,'Assessment Details'!$O$45:$P$48,2,FALSE)</f>
        <v>#N/A</v>
      </c>
    </row>
    <row r="144" spans="1:52" ht="30" x14ac:dyDescent="0.25">
      <c r="A144" s="1076">
        <v>135</v>
      </c>
      <c r="B144" s="1077" t="s">
        <v>68</v>
      </c>
      <c r="C144" s="1082" t="str">
        <f t="shared" si="19"/>
        <v>Mat 07</v>
      </c>
      <c r="D144" s="19" t="s">
        <v>788</v>
      </c>
      <c r="E144" s="1071" t="str">
        <f>VLOOKUP(D144,Poeng!$B$10:$R$252,Poeng!E$1,FALSE)</f>
        <v>Disassembly and functional adaptability - implementation (EU taxonomy requirement: criterion 4-6)</v>
      </c>
      <c r="F144" s="122">
        <f>VLOOKUP(D144,Poeng!$B$10:$AB$252,Poeng!AB$1,FALSE)</f>
        <v>1</v>
      </c>
      <c r="G144" s="43"/>
      <c r="H144" s="123">
        <f>VLOOKUP(D144,Poeng!$B$10:$AE$252,Poeng!AE$1,FALSE)</f>
        <v>0</v>
      </c>
      <c r="I144" s="124" t="str">
        <f>VLOOKUP(D144,Poeng!$B$10:$BE$252,Poeng!BE$1,FALSE)</f>
        <v>Very Good</v>
      </c>
      <c r="J144" s="80"/>
      <c r="K144" s="281"/>
      <c r="L144" s="796"/>
      <c r="M144" s="816"/>
      <c r="N144" s="83"/>
      <c r="O144" s="123">
        <f>VLOOKUP(D144,Poeng!$B$10:$BC$252,Poeng!AF$1,FALSE)</f>
        <v>0</v>
      </c>
      <c r="P144" s="123" t="str">
        <f>VLOOKUP(D144,Poeng!$B$10:$BH$252,Poeng!BH$1,FALSE)</f>
        <v>Very Good</v>
      </c>
      <c r="Q144" s="744"/>
      <c r="R144" s="745"/>
      <c r="S144" s="738"/>
      <c r="T144" s="319"/>
      <c r="U144" s="83"/>
      <c r="V144" s="123">
        <f>VLOOKUP(D144,Poeng!$B$10:$BC$252,Poeng!AG$1,FALSE)</f>
        <v>0</v>
      </c>
      <c r="W144" s="123" t="str">
        <f>VLOOKUP(D144,Poeng!$B$10:$BK$252,Poeng!BK$1,FALSE)</f>
        <v>Very Good</v>
      </c>
      <c r="X144" s="81"/>
      <c r="Y144" s="80"/>
      <c r="Z144" s="738"/>
      <c r="AC144" s="107">
        <f t="shared" si="21"/>
        <v>1</v>
      </c>
      <c r="AD144" s="3" t="e">
        <f>VLOOKUP(K144,'Assessment Details'!$O$45:$P$48,2,FALSE)</f>
        <v>#N/A</v>
      </c>
      <c r="AE144" s="3" t="e">
        <f>VLOOKUP(R144,'Assessment Details'!$O$45:$P$48,2,FALSE)</f>
        <v>#N/A</v>
      </c>
      <c r="AF144" s="3" t="e">
        <f>VLOOKUP(Y144,'Assessment Details'!$O$45:$P$48,2,FALSE)</f>
        <v>#N/A</v>
      </c>
    </row>
    <row r="145" spans="1:52" ht="15.75" thickBot="1" x14ac:dyDescent="0.3">
      <c r="A145" s="1076">
        <v>136</v>
      </c>
      <c r="B145" s="1077" t="s">
        <v>68</v>
      </c>
      <c r="C145" s="1083"/>
      <c r="D145" s="824" t="s">
        <v>887</v>
      </c>
      <c r="E145" s="320" t="s">
        <v>108</v>
      </c>
      <c r="F145" s="125">
        <f>Mat_Credits</f>
        <v>21</v>
      </c>
      <c r="G145" s="131"/>
      <c r="H145" s="126">
        <f>Mat_cont_tot</f>
        <v>0</v>
      </c>
      <c r="I145" s="867" t="str">
        <f>"Credits achieved: "&amp;Mat_tot_user</f>
        <v>Credits achieved: 0</v>
      </c>
      <c r="J145" s="134"/>
      <c r="K145" s="282"/>
      <c r="L145" s="746"/>
      <c r="M145" s="816"/>
      <c r="N145" s="383"/>
      <c r="O145" s="126">
        <f>VLOOKUP(D145,Poeng!$B$10:$BC$252,Poeng!AF$1,FALSE)</f>
        <v>0</v>
      </c>
      <c r="P145" s="867" t="str">
        <f>"Credits achieved: "&amp;Mat_c_user</f>
        <v>Credits achieved: 0</v>
      </c>
      <c r="Q145" s="747"/>
      <c r="R145" s="748"/>
      <c r="S145" s="746"/>
      <c r="T145" s="319"/>
      <c r="U145" s="383"/>
      <c r="V145" s="126">
        <f>VLOOKUP(D145,Poeng!$B$10:$BC$252,Poeng!AG$1,FALSE)</f>
        <v>0</v>
      </c>
      <c r="W145" s="867" t="str">
        <f>"Credits achieved: "&amp;Mat_d_user</f>
        <v>Credits achieved: 0</v>
      </c>
      <c r="X145" s="382"/>
      <c r="Y145" s="136"/>
      <c r="Z145" s="746"/>
      <c r="AA145" s="133"/>
      <c r="AB145" s="641"/>
      <c r="AC145" s="107">
        <f t="shared" si="21"/>
        <v>1</v>
      </c>
      <c r="AD145" s="276">
        <v>0</v>
      </c>
      <c r="AE145" s="276">
        <v>0</v>
      </c>
      <c r="AF145" s="276">
        <v>0</v>
      </c>
      <c r="AI145" s="70"/>
      <c r="AJ145" s="671" t="s">
        <v>108</v>
      </c>
      <c r="AK145" s="70"/>
      <c r="AL145" s="70"/>
      <c r="AM145" s="70"/>
      <c r="AN145" s="70"/>
      <c r="AO145" s="70"/>
      <c r="AP145" s="70"/>
      <c r="AS145" s="23" t="str">
        <f t="shared" si="13"/>
        <v>N/A</v>
      </c>
      <c r="AT145" s="23" t="str">
        <f t="shared" si="14"/>
        <v>N/A</v>
      </c>
      <c r="AU145" s="23" t="str">
        <f t="shared" si="15"/>
        <v>N/A</v>
      </c>
      <c r="AV145" s="23"/>
      <c r="AW145" s="23"/>
      <c r="AX145" s="23"/>
      <c r="AZ145" s="641"/>
    </row>
    <row r="146" spans="1:52" x14ac:dyDescent="0.25">
      <c r="A146" s="1076">
        <v>137</v>
      </c>
      <c r="B146" s="1077" t="s">
        <v>68</v>
      </c>
      <c r="C146" s="1085"/>
      <c r="D146" s="824"/>
      <c r="E146" s="334"/>
      <c r="F146" s="322"/>
      <c r="G146" s="323"/>
      <c r="H146" s="322"/>
      <c r="I146" s="322"/>
      <c r="J146" s="324"/>
      <c r="K146" s="323"/>
      <c r="L146" s="749"/>
      <c r="M146" s="815"/>
      <c r="N146" s="325"/>
      <c r="O146" s="325"/>
      <c r="P146" s="749"/>
      <c r="Q146" s="749"/>
      <c r="R146" s="750"/>
      <c r="S146" s="1094"/>
      <c r="T146" s="326"/>
      <c r="U146" s="325"/>
      <c r="V146" s="325"/>
      <c r="W146" s="749"/>
      <c r="X146" s="324"/>
      <c r="Y146" s="325"/>
      <c r="Z146" s="1094"/>
      <c r="AA146" s="699"/>
      <c r="AB146" s="324"/>
      <c r="AC146" s="107">
        <f t="shared" si="21"/>
        <v>1</v>
      </c>
      <c r="AD146" s="278">
        <v>0</v>
      </c>
      <c r="AE146" s="278">
        <v>0</v>
      </c>
      <c r="AF146" s="278">
        <v>0</v>
      </c>
      <c r="AI146" s="70"/>
      <c r="AJ146" s="671"/>
      <c r="AK146" s="70"/>
      <c r="AL146" s="70"/>
      <c r="AM146" s="70"/>
      <c r="AN146" s="70"/>
      <c r="AO146" s="70"/>
      <c r="AP146" s="70"/>
      <c r="AS146" s="23" t="str">
        <f t="shared" si="13"/>
        <v>N/A</v>
      </c>
      <c r="AT146" s="23" t="str">
        <f t="shared" si="14"/>
        <v>N/A</v>
      </c>
      <c r="AU146" s="23" t="str">
        <f t="shared" si="15"/>
        <v>N/A</v>
      </c>
      <c r="AV146" s="23"/>
      <c r="AW146" s="23"/>
      <c r="AX146" s="23"/>
      <c r="AZ146" s="324"/>
    </row>
    <row r="147" spans="1:52" ht="18.75" x14ac:dyDescent="0.25">
      <c r="A147" s="1076">
        <v>138</v>
      </c>
      <c r="B147" s="1077" t="s">
        <v>69</v>
      </c>
      <c r="C147" s="1086"/>
      <c r="D147" s="824"/>
      <c r="E147" s="335" t="s">
        <v>56</v>
      </c>
      <c r="F147" s="315"/>
      <c r="G147" s="316"/>
      <c r="H147" s="336"/>
      <c r="I147" s="315"/>
      <c r="J147" s="328"/>
      <c r="K147" s="329"/>
      <c r="L147" s="752"/>
      <c r="M147" s="816"/>
      <c r="N147" s="339"/>
      <c r="O147" s="332"/>
      <c r="P147" s="742"/>
      <c r="Q147" s="753"/>
      <c r="R147" s="754"/>
      <c r="S147" s="755"/>
      <c r="T147" s="319"/>
      <c r="U147" s="339"/>
      <c r="V147" s="338"/>
      <c r="W147" s="742"/>
      <c r="X147" s="328"/>
      <c r="Y147" s="338"/>
      <c r="Z147" s="752"/>
      <c r="AA147" s="133"/>
      <c r="AB147" s="337"/>
      <c r="AC147" s="107">
        <f t="shared" si="21"/>
        <v>1</v>
      </c>
      <c r="AD147" s="275">
        <v>0</v>
      </c>
      <c r="AE147" s="275">
        <v>0</v>
      </c>
      <c r="AF147" s="275">
        <v>0</v>
      </c>
      <c r="AI147" s="70"/>
      <c r="AJ147" s="671" t="s">
        <v>56</v>
      </c>
      <c r="AK147" s="70"/>
      <c r="AL147" s="70"/>
      <c r="AM147" s="70"/>
      <c r="AN147" s="70"/>
      <c r="AO147" s="70"/>
      <c r="AP147" s="70"/>
      <c r="AS147" s="23" t="str">
        <f t="shared" si="13"/>
        <v>N/A</v>
      </c>
      <c r="AT147" s="23" t="str">
        <f t="shared" si="14"/>
        <v>N/A</v>
      </c>
      <c r="AU147" s="23" t="str">
        <f t="shared" si="15"/>
        <v>N/A</v>
      </c>
      <c r="AV147" s="23"/>
      <c r="AW147" s="23"/>
      <c r="AX147" s="23"/>
      <c r="AZ147" s="337"/>
    </row>
    <row r="148" spans="1:52" x14ac:dyDescent="0.25">
      <c r="A148" s="1076">
        <v>139</v>
      </c>
      <c r="B148" s="1077" t="s">
        <v>69</v>
      </c>
      <c r="C148" s="924" t="s">
        <v>177</v>
      </c>
      <c r="D148" s="824" t="s">
        <v>177</v>
      </c>
      <c r="E148" s="860" t="str">
        <f>VLOOKUP(D148,Poeng!$B$10:$R$252,Poeng!E$1,FALSE)</f>
        <v>Wst 01 Construction waste management</v>
      </c>
      <c r="F148" s="865">
        <f>VLOOKUP(D148,Poeng!$B$10:$AB$252,Poeng!AB$1,FALSE)</f>
        <v>5</v>
      </c>
      <c r="G148" s="1000"/>
      <c r="H148" s="866" t="str">
        <f>VLOOKUP(D148,Poeng!$B$10:$AI$252,Poeng!AI$1,FALSE)&amp;" c. "&amp;ROUND(VLOOKUP(D148,Poeng!$B$10:$AE$252,Poeng!AE$1,FALSE)*100,1)&amp;" %"</f>
        <v>0 c. 0 %</v>
      </c>
      <c r="I148" s="923" t="str">
        <f>VLOOKUP(D148,Poeng!$B$10:$BE$252,Poeng!BE$1,FALSE)</f>
        <v>N/A</v>
      </c>
      <c r="J148" s="874"/>
      <c r="K148" s="875"/>
      <c r="L148" s="876"/>
      <c r="M148" s="815"/>
      <c r="N148" s="1001"/>
      <c r="O148" s="1093" t="str">
        <f>VLOOKUP(D148,Poeng!$B$10:$BC$252,Poeng!AJ$1,FALSE)&amp;" c. "&amp;ROUND(VLOOKUP(D148,Poeng!$B$10:$BC$252,Poeng!AF$1,FALSE)*100,1)&amp;" %"</f>
        <v>0 c. 0 %</v>
      </c>
      <c r="P148" s="123" t="str">
        <f>VLOOKUP(D148,Poeng!$B$10:$BH$252,Poeng!BH$1,FALSE)</f>
        <v>N/A</v>
      </c>
      <c r="Q148" s="744"/>
      <c r="R148" s="745"/>
      <c r="S148" s="738"/>
      <c r="T148" s="319"/>
      <c r="U148" s="1001"/>
      <c r="V148" s="877" t="str">
        <f>VLOOKUP(D148,Poeng!$B$10:$BC$252,Poeng!AK$1,FALSE)&amp;" c. "&amp;ROUND(VLOOKUP(D148,Poeng!$B$10:$BC$252,Poeng!AG$1,FALSE)*100,1)&amp;" %"</f>
        <v>0 c. 0 %</v>
      </c>
      <c r="W148" s="123" t="str">
        <f>VLOOKUP(D148,Poeng!$B$10:$BK$252,Poeng!BK$1,FALSE)</f>
        <v>N/A</v>
      </c>
      <c r="X148" s="81"/>
      <c r="Y148" s="80"/>
      <c r="Z148" s="738"/>
      <c r="AA148" s="133"/>
      <c r="AB148" s="640" t="s">
        <v>14</v>
      </c>
      <c r="AC148" s="107">
        <f t="shared" si="21"/>
        <v>1</v>
      </c>
      <c r="AD148" s="3" t="e">
        <f>VLOOKUP(K148,'Assessment Details'!$O$45:$P$48,2,FALSE)</f>
        <v>#N/A</v>
      </c>
      <c r="AE148" s="3" t="e">
        <f>VLOOKUP(R148,'Assessment Details'!$O$45:$P$48,2,FALSE)</f>
        <v>#N/A</v>
      </c>
      <c r="AF148" s="3" t="e">
        <f>VLOOKUP(Y148,'Assessment Details'!$O$45:$P$48,2,FALSE)</f>
        <v>#N/A</v>
      </c>
      <c r="AI148" s="70"/>
      <c r="AJ148" s="671" t="s">
        <v>159</v>
      </c>
      <c r="AK148" s="70"/>
      <c r="AL148" s="70"/>
      <c r="AM148" s="70"/>
      <c r="AN148" s="70"/>
      <c r="AO148" s="70"/>
      <c r="AP148" s="70"/>
      <c r="AS148" s="23" t="str">
        <f t="shared" si="13"/>
        <v>N/A</v>
      </c>
      <c r="AT148" s="23" t="str">
        <f t="shared" si="14"/>
        <v>N/A</v>
      </c>
      <c r="AU148" s="23" t="str">
        <f t="shared" si="15"/>
        <v>N/A</v>
      </c>
      <c r="AV148" s="23"/>
      <c r="AW148" s="23"/>
      <c r="AX148" s="23"/>
      <c r="AZ148" s="640"/>
    </row>
    <row r="149" spans="1:52" x14ac:dyDescent="0.25">
      <c r="A149" s="1076">
        <v>140</v>
      </c>
      <c r="B149" s="1077" t="s">
        <v>69</v>
      </c>
      <c r="C149" s="1082" t="str">
        <f>C148</f>
        <v>Wst 01</v>
      </c>
      <c r="D149" s="824" t="s">
        <v>789</v>
      </c>
      <c r="E149" s="861" t="str">
        <f>VLOOKUP(D149,Poeng!$B$10:$R$258,Poeng!E$1,FALSE)</f>
        <v>Resource managment plan</v>
      </c>
      <c r="F149" s="122">
        <f>VLOOKUP(D149,Poeng!$B$10:$AB$258,Poeng!AB$1,FALSE)</f>
        <v>1</v>
      </c>
      <c r="G149" s="43"/>
      <c r="H149" s="123">
        <f>VLOOKUP(D149,Poeng!$B$10:$AE$258,Poeng!AE$1,FALSE)</f>
        <v>0</v>
      </c>
      <c r="I149" s="124" t="str">
        <f>VLOOKUP(D149,Poeng!$B$10:$BE$258,Poeng!BE$1,FALSE)</f>
        <v>Good</v>
      </c>
      <c r="J149" s="1119"/>
      <c r="K149" s="1120"/>
      <c r="L149" s="1121"/>
      <c r="M149" s="815"/>
      <c r="N149" s="83"/>
      <c r="O149" s="123">
        <f>VLOOKUP(D149,Poeng!$B$10:$BC$258,Poeng!AF$1,FALSE)</f>
        <v>0</v>
      </c>
      <c r="P149" s="123" t="str">
        <f>VLOOKUP(D149,Poeng!$B$10:$BH$258,Poeng!BH$1,FALSE)</f>
        <v>Good</v>
      </c>
      <c r="Q149" s="744"/>
      <c r="R149" s="745"/>
      <c r="S149" s="738"/>
      <c r="T149" s="319"/>
      <c r="U149" s="83"/>
      <c r="V149" s="123">
        <f>VLOOKUP(D149,Poeng!$B$10:$BC$258,Poeng!AG$1,FALSE)</f>
        <v>0</v>
      </c>
      <c r="W149" s="123" t="str">
        <f>VLOOKUP(D149,Poeng!$B$10:$BK$258,Poeng!BK$1,FALSE)</f>
        <v>Good</v>
      </c>
      <c r="X149" s="81"/>
      <c r="Y149" s="80"/>
      <c r="Z149" s="738"/>
      <c r="AA149" s="133"/>
      <c r="AB149" s="864"/>
      <c r="AC149" s="107">
        <f t="shared" ref="AC149" si="22">IF(F149="",1,IF(F149=0,2,1))</f>
        <v>1</v>
      </c>
      <c r="AD149" s="3" t="e">
        <f>VLOOKUP(K149,'Assessment Details'!$O$45:$P$48,2,FALSE)</f>
        <v>#N/A</v>
      </c>
      <c r="AE149" s="3" t="e">
        <f>VLOOKUP(R149,'Assessment Details'!$O$45:$P$48,2,FALSE)</f>
        <v>#N/A</v>
      </c>
      <c r="AF149" s="3" t="e">
        <f>VLOOKUP(Y149,'Assessment Details'!$O$45:$P$48,2,FALSE)</f>
        <v>#N/A</v>
      </c>
      <c r="AI149" s="3"/>
      <c r="AJ149" s="3"/>
      <c r="AK149" s="3"/>
      <c r="AL149" s="3"/>
      <c r="AM149" s="3"/>
      <c r="AN149" s="3"/>
      <c r="AO149" s="3"/>
      <c r="AP149" s="3"/>
      <c r="AS149" s="23"/>
      <c r="AT149" s="23"/>
      <c r="AU149" s="23"/>
      <c r="AV149" s="23"/>
      <c r="AW149" s="23"/>
      <c r="AX149" s="23"/>
      <c r="AZ149" s="864"/>
    </row>
    <row r="150" spans="1:52" x14ac:dyDescent="0.25">
      <c r="A150" s="1076">
        <v>141</v>
      </c>
      <c r="B150" s="1077" t="s">
        <v>69</v>
      </c>
      <c r="C150" s="1082" t="str">
        <f>C148</f>
        <v>Wst 01</v>
      </c>
      <c r="D150" s="19" t="s">
        <v>1022</v>
      </c>
      <c r="E150" s="1255" t="str">
        <f>VLOOKUP(D150,Poeng!$B$10:$R$258,Poeng!E$1,FALSE)</f>
        <v>EU taxonomy requirement: criterion 1</v>
      </c>
      <c r="F150" s="122" t="str">
        <f>VLOOKUP(D150,Poeng!$B$10:$AB$258,Poeng!AB$1,FALSE)</f>
        <v>Yes/No</v>
      </c>
      <c r="G150" s="43"/>
      <c r="H150" s="123" t="str">
        <f>VLOOKUP(D150,Poeng!$B$10:$AE$258,Poeng!AE$1,FALSE)</f>
        <v>-</v>
      </c>
      <c r="I150" s="124" t="str">
        <f>VLOOKUP(D150,Poeng!$B$10:$BE$258,Poeng!BE$1,FALSE)</f>
        <v>N/A</v>
      </c>
      <c r="J150" s="80"/>
      <c r="K150" s="281"/>
      <c r="L150" s="796"/>
      <c r="M150" s="816"/>
      <c r="N150" s="83"/>
      <c r="O150" s="123" t="str">
        <f>VLOOKUP(D150,Poeng!$B$10:$BC$258,Poeng!AF$1,FALSE)</f>
        <v>-</v>
      </c>
      <c r="P150" s="123" t="str">
        <f>VLOOKUP(D150,Poeng!$B$10:$BH$258,Poeng!BH$1,FALSE)</f>
        <v>N/A</v>
      </c>
      <c r="Q150" s="744"/>
      <c r="R150" s="745"/>
      <c r="S150" s="738"/>
      <c r="T150" s="319"/>
      <c r="U150" s="83"/>
      <c r="V150" s="123" t="str">
        <f>VLOOKUP(D150,Poeng!$B$10:$BC$258,Poeng!AG$1,FALSE)</f>
        <v>-</v>
      </c>
      <c r="W150" s="123" t="str">
        <f>VLOOKUP(D150,Poeng!$B$10:$BK$258,Poeng!BK$1,FALSE)</f>
        <v>N/A</v>
      </c>
      <c r="X150" s="81"/>
      <c r="Y150" s="80"/>
      <c r="Z150" s="738"/>
      <c r="AC150" s="107">
        <f t="shared" si="21"/>
        <v>1</v>
      </c>
      <c r="AD150" s="3" t="e">
        <f>VLOOKUP(K150,'Assessment Details'!$O$45:$P$48,2,FALSE)</f>
        <v>#N/A</v>
      </c>
      <c r="AE150" s="3" t="e">
        <f>VLOOKUP(R150,'Assessment Details'!$O$45:$P$48,2,FALSE)</f>
        <v>#N/A</v>
      </c>
      <c r="AF150" s="3" t="e">
        <f>VLOOKUP(Y150,'Assessment Details'!$O$45:$P$48,2,FALSE)</f>
        <v>#N/A</v>
      </c>
    </row>
    <row r="151" spans="1:52" x14ac:dyDescent="0.25">
      <c r="A151" s="1076">
        <v>142</v>
      </c>
      <c r="B151" s="1077" t="s">
        <v>69</v>
      </c>
      <c r="C151" s="1082" t="str">
        <f t="shared" si="19"/>
        <v>Wst 01</v>
      </c>
      <c r="D151" s="19" t="s">
        <v>790</v>
      </c>
      <c r="E151" s="861" t="str">
        <f>VLOOKUP(D151,Poeng!$B$10:$R$252,Poeng!E$1,FALSE)</f>
        <v>Amount of construction waste</v>
      </c>
      <c r="F151" s="122">
        <f>VLOOKUP(D151,Poeng!$B$10:$AB$252,Poeng!AB$1,FALSE)</f>
        <v>2</v>
      </c>
      <c r="G151" s="43"/>
      <c r="H151" s="123">
        <f>VLOOKUP(D151,Poeng!$B$10:$AE$252,Poeng!AE$1,FALSE)</f>
        <v>0</v>
      </c>
      <c r="I151" s="124" t="str">
        <f>VLOOKUP(D151,Poeng!$B$10:$BE$252,Poeng!BE$1,FALSE)</f>
        <v>Excellent</v>
      </c>
      <c r="J151" s="80"/>
      <c r="K151" s="281"/>
      <c r="L151" s="796"/>
      <c r="M151" s="816"/>
      <c r="N151" s="83"/>
      <c r="O151" s="123">
        <f>VLOOKUP(D151,Poeng!$B$10:$BC$252,Poeng!AF$1,FALSE)</f>
        <v>0</v>
      </c>
      <c r="P151" s="123" t="str">
        <f>VLOOKUP(D151,Poeng!$B$10:$BH$252,Poeng!BH$1,FALSE)</f>
        <v>Excellent</v>
      </c>
      <c r="Q151" s="744"/>
      <c r="R151" s="745"/>
      <c r="S151" s="738"/>
      <c r="T151" s="319"/>
      <c r="U151" s="83"/>
      <c r="V151" s="123">
        <f>VLOOKUP(D151,Poeng!$B$10:$BC$252,Poeng!AG$1,FALSE)</f>
        <v>0</v>
      </c>
      <c r="W151" s="123" t="str">
        <f>VLOOKUP(D151,Poeng!$B$10:$BK$252,Poeng!BK$1,FALSE)</f>
        <v>Excellent</v>
      </c>
      <c r="X151" s="81"/>
      <c r="Y151" s="80"/>
      <c r="Z151" s="738"/>
      <c r="AC151" s="107">
        <f t="shared" si="21"/>
        <v>1</v>
      </c>
      <c r="AD151" s="3" t="e">
        <f>VLOOKUP(K151,'Assessment Details'!$O$45:$P$48,2,FALSE)</f>
        <v>#N/A</v>
      </c>
      <c r="AE151" s="3" t="e">
        <f>VLOOKUP(R151,'Assessment Details'!$O$45:$P$48,2,FALSE)</f>
        <v>#N/A</v>
      </c>
      <c r="AF151" s="3" t="e">
        <f>VLOOKUP(Y151,'Assessment Details'!$O$45:$P$48,2,FALSE)</f>
        <v>#N/A</v>
      </c>
    </row>
    <row r="152" spans="1:52" x14ac:dyDescent="0.25">
      <c r="A152" s="1076">
        <v>143</v>
      </c>
      <c r="B152" s="1077" t="s">
        <v>69</v>
      </c>
      <c r="C152" s="1082" t="str">
        <f t="shared" si="19"/>
        <v>Wst 01</v>
      </c>
      <c r="D152" s="19" t="s">
        <v>791</v>
      </c>
      <c r="E152" s="861" t="str">
        <f>VLOOKUP(D152,Poeng!$B$10:$R$252,Poeng!E$1,FALSE)</f>
        <v>Waste sorting, reuse and recycling</v>
      </c>
      <c r="F152" s="122">
        <f>VLOOKUP(D152,Poeng!$B$10:$AB$252,Poeng!AB$1,FALSE)</f>
        <v>2</v>
      </c>
      <c r="G152" s="43"/>
      <c r="H152" s="123">
        <f>VLOOKUP(D152,Poeng!$B$10:$AE$252,Poeng!AE$1,FALSE)</f>
        <v>0</v>
      </c>
      <c r="I152" s="124" t="str">
        <f>VLOOKUP(D152,Poeng!$B$10:$BE$252,Poeng!BE$1,FALSE)</f>
        <v>Very Good</v>
      </c>
      <c r="J152" s="80"/>
      <c r="K152" s="281"/>
      <c r="L152" s="796"/>
      <c r="M152" s="816"/>
      <c r="N152" s="83"/>
      <c r="O152" s="123">
        <f>VLOOKUP(D152,Poeng!$B$10:$BC$252,Poeng!AF$1,FALSE)</f>
        <v>0</v>
      </c>
      <c r="P152" s="123" t="str">
        <f>VLOOKUP(D152,Poeng!$B$10:$BH$252,Poeng!BH$1,FALSE)</f>
        <v>Very Good</v>
      </c>
      <c r="Q152" s="744"/>
      <c r="R152" s="745"/>
      <c r="S152" s="738"/>
      <c r="T152" s="319"/>
      <c r="U152" s="83"/>
      <c r="V152" s="123">
        <f>VLOOKUP(D152,Poeng!$B$10:$BC$252,Poeng!AG$1,FALSE)</f>
        <v>0</v>
      </c>
      <c r="W152" s="123" t="str">
        <f>VLOOKUP(D152,Poeng!$B$10:$BK$252,Poeng!BK$1,FALSE)</f>
        <v>Very Good</v>
      </c>
      <c r="X152" s="81"/>
      <c r="Y152" s="80"/>
      <c r="Z152" s="738"/>
      <c r="AC152" s="107">
        <f t="shared" si="21"/>
        <v>1</v>
      </c>
      <c r="AD152" s="3" t="e">
        <f>VLOOKUP(K152,'Assessment Details'!$O$45:$P$48,2,FALSE)</f>
        <v>#N/A</v>
      </c>
      <c r="AE152" s="3" t="e">
        <f>VLOOKUP(R152,'Assessment Details'!$O$45:$P$48,2,FALSE)</f>
        <v>#N/A</v>
      </c>
      <c r="AF152" s="3" t="e">
        <f>VLOOKUP(Y152,'Assessment Details'!$O$45:$P$48,2,FALSE)</f>
        <v>#N/A</v>
      </c>
    </row>
    <row r="153" spans="1:52" x14ac:dyDescent="0.25">
      <c r="A153" s="1076">
        <v>144</v>
      </c>
      <c r="B153" s="1077" t="s">
        <v>69</v>
      </c>
      <c r="C153" s="1082" t="str">
        <f t="shared" si="19"/>
        <v>Wst 01</v>
      </c>
      <c r="D153" s="19" t="s">
        <v>980</v>
      </c>
      <c r="E153" s="1255" t="str">
        <f>VLOOKUP(D153,Poeng!$B$10:$R$252,Poeng!E$1,FALSE)</f>
        <v>EU taxonomy requirement: criterion 4, ready for reuse &gt;70%</v>
      </c>
      <c r="F153" s="122" t="str">
        <f>VLOOKUP(D153,Poeng!$B$10:$AB$252,Poeng!AB$1,FALSE)</f>
        <v>Yes/No</v>
      </c>
      <c r="G153" s="43"/>
      <c r="H153" s="123" t="str">
        <f>VLOOKUP(D153,Poeng!$B$10:$AE$252,Poeng!AE$1,FALSE)</f>
        <v>-</v>
      </c>
      <c r="I153" s="124" t="str">
        <f>VLOOKUP(D153,Poeng!$B$10:$BE$252,Poeng!BE$1,FALSE)</f>
        <v>Very Good</v>
      </c>
      <c r="J153" s="80"/>
      <c r="K153" s="281"/>
      <c r="L153" s="796"/>
      <c r="M153" s="816"/>
      <c r="N153" s="83"/>
      <c r="O153" s="123" t="str">
        <f>VLOOKUP(D153,Poeng!$B$10:$BC$252,Poeng!AF$1,FALSE)</f>
        <v>-</v>
      </c>
      <c r="P153" s="123" t="str">
        <f>VLOOKUP(D153,Poeng!$B$10:$BH$252,Poeng!BH$1,FALSE)</f>
        <v>Very Good</v>
      </c>
      <c r="Q153" s="744"/>
      <c r="R153" s="745"/>
      <c r="S153" s="738"/>
      <c r="T153" s="319"/>
      <c r="U153" s="83"/>
      <c r="V153" s="123" t="str">
        <f>VLOOKUP(D153,Poeng!$B$10:$BC$252,Poeng!AG$1,FALSE)</f>
        <v>-</v>
      </c>
      <c r="W153" s="123" t="str">
        <f>VLOOKUP(D153,Poeng!$B$10:$BK$252,Poeng!BK$1,FALSE)</f>
        <v>Very Good</v>
      </c>
      <c r="X153" s="81"/>
      <c r="Y153" s="80"/>
      <c r="Z153" s="738"/>
      <c r="AC153" s="107">
        <f t="shared" ref="AC153" si="23">IF(F153="",1,IF(F153=0,2,1))</f>
        <v>1</v>
      </c>
      <c r="AD153" s="3" t="e">
        <f>VLOOKUP(K153,'Assessment Details'!$O$45:$P$48,2,FALSE)</f>
        <v>#N/A</v>
      </c>
      <c r="AE153" s="3" t="e">
        <f>VLOOKUP(R153,'Assessment Details'!$O$45:$P$48,2,FALSE)</f>
        <v>#N/A</v>
      </c>
      <c r="AF153" s="3" t="e">
        <f>VLOOKUP(Y153,'Assessment Details'!$O$45:$P$48,2,FALSE)</f>
        <v>#N/A</v>
      </c>
    </row>
    <row r="154" spans="1:52" x14ac:dyDescent="0.25">
      <c r="A154" s="1076">
        <v>145</v>
      </c>
      <c r="B154" s="1077" t="s">
        <v>69</v>
      </c>
      <c r="C154" s="924" t="s">
        <v>373</v>
      </c>
      <c r="D154" s="824" t="s">
        <v>373</v>
      </c>
      <c r="E154" s="860" t="str">
        <f>VLOOKUP(D154,Poeng!$B$10:$R$252,Poeng!E$1,FALSE)</f>
        <v>Wst 03a Operational waste</v>
      </c>
      <c r="F154" s="865">
        <f>VLOOKUP(D154,Poeng!$B$10:$AB$252,Poeng!AB$1,FALSE)</f>
        <v>1</v>
      </c>
      <c r="G154" s="1001"/>
      <c r="H154" s="866" t="str">
        <f>VLOOKUP(D154,Poeng!$B$10:$AI$252,Poeng!AI$1,FALSE)&amp;" c. "&amp;ROUND(VLOOKUP(D154,Poeng!$B$10:$AE$252,Poeng!AE$1,FALSE)*100,1)&amp;" %"</f>
        <v>0 c. 0 %</v>
      </c>
      <c r="I154" s="924" t="str">
        <f>VLOOKUP(D154,Poeng!$B$10:$BE$252,Poeng!BE$1,FALSE)</f>
        <v>N/A</v>
      </c>
      <c r="J154" s="80"/>
      <c r="K154" s="281"/>
      <c r="L154" s="796"/>
      <c r="M154" s="816"/>
      <c r="N154" s="1001"/>
      <c r="O154" s="877" t="str">
        <f>VLOOKUP(D154,Poeng!$B$10:$BC$252,Poeng!AJ$1,FALSE)&amp;" c. "&amp;ROUND(VLOOKUP(D154,Poeng!$B$10:$BC$252,Poeng!AF$1,FALSE)*100,1)&amp;" %"</f>
        <v>0 c. 0 %</v>
      </c>
      <c r="P154" s="123" t="str">
        <f>VLOOKUP(D154,Poeng!$B$10:$BH$252,Poeng!BH$1,FALSE)</f>
        <v>N/A</v>
      </c>
      <c r="Q154" s="744"/>
      <c r="R154" s="745"/>
      <c r="S154" s="738"/>
      <c r="T154" s="319"/>
      <c r="U154" s="1001"/>
      <c r="V154" s="877" t="str">
        <f>VLOOKUP(D154,Poeng!$B$10:$BC$252,Poeng!AK$1,FALSE)&amp;" c. "&amp;ROUND(VLOOKUP(D154,Poeng!$B$10:$BC$252,Poeng!AG$1,FALSE)*100,1)&amp;" %"</f>
        <v>0 c. 0 %</v>
      </c>
      <c r="W154" s="123" t="str">
        <f>VLOOKUP(D154,Poeng!$B$10:$BK$252,Poeng!BK$1,FALSE)</f>
        <v>N/A</v>
      </c>
      <c r="X154" s="81"/>
      <c r="Y154" s="80"/>
      <c r="Z154" s="738"/>
      <c r="AA154" s="133"/>
      <c r="AB154" s="640" t="s">
        <v>13</v>
      </c>
      <c r="AC154" s="107">
        <f t="shared" si="21"/>
        <v>1</v>
      </c>
      <c r="AD154" s="3" t="e">
        <f>VLOOKUP(K154,'Assessment Details'!$O$45:$P$48,2,FALSE)</f>
        <v>#N/A</v>
      </c>
      <c r="AE154" s="3" t="e">
        <f>VLOOKUP(R154,'Assessment Details'!$O$45:$P$48,2,FALSE)</f>
        <v>#N/A</v>
      </c>
      <c r="AF154" s="3" t="e">
        <f>VLOOKUP(Y154,'Assessment Details'!$O$45:$P$48,2,FALSE)</f>
        <v>#N/A</v>
      </c>
      <c r="AI154" s="70"/>
      <c r="AJ154" s="671" t="s">
        <v>166</v>
      </c>
      <c r="AK154" s="648" t="s">
        <v>13</v>
      </c>
      <c r="AL154" s="648" t="s">
        <v>12</v>
      </c>
      <c r="AM154" s="70"/>
      <c r="AN154" s="70"/>
      <c r="AO154" s="70"/>
      <c r="AP154" s="70"/>
      <c r="AS154" s="23" t="str">
        <f t="shared" si="13"/>
        <v>N/A</v>
      </c>
      <c r="AT154" s="23" t="str">
        <f t="shared" si="14"/>
        <v>N/A</v>
      </c>
      <c r="AU154" s="23" t="str">
        <f t="shared" si="15"/>
        <v>N/A</v>
      </c>
      <c r="AV154" s="23"/>
      <c r="AW154" s="23"/>
      <c r="AX154" s="23"/>
      <c r="AZ154" s="640"/>
    </row>
    <row r="155" spans="1:52" x14ac:dyDescent="0.25">
      <c r="A155" s="1076">
        <v>146</v>
      </c>
      <c r="B155" s="1077" t="s">
        <v>69</v>
      </c>
      <c r="C155" s="1082" t="str">
        <f t="shared" si="19"/>
        <v>Wst 03a</v>
      </c>
      <c r="D155" s="824" t="s">
        <v>792</v>
      </c>
      <c r="E155" s="861" t="str">
        <f>VLOOKUP(D155,Poeng!$B$10:$R$252,Poeng!E$1,FALSE)</f>
        <v>Operational waste</v>
      </c>
      <c r="F155" s="122">
        <f>VLOOKUP(D155,Poeng!$B$10:$AB$252,Poeng!AB$1,FALSE)</f>
        <v>1</v>
      </c>
      <c r="G155" s="43"/>
      <c r="H155" s="123">
        <f>VLOOKUP(D155,Poeng!$B$10:$AE$252,Poeng!AE$1,FALSE)</f>
        <v>0</v>
      </c>
      <c r="I155" s="124" t="str">
        <f>VLOOKUP(D155,Poeng!$B$10:$BE$252,Poeng!BE$1,FALSE)</f>
        <v>Very Good</v>
      </c>
      <c r="J155" s="80"/>
      <c r="K155" s="281"/>
      <c r="L155" s="796"/>
      <c r="M155" s="816"/>
      <c r="N155" s="83"/>
      <c r="O155" s="123">
        <f>VLOOKUP(D155,Poeng!$B$10:$BC$252,Poeng!AF$1,FALSE)</f>
        <v>0</v>
      </c>
      <c r="P155" s="123" t="str">
        <f>VLOOKUP(D155,Poeng!$B$10:$BH$252,Poeng!BH$1,FALSE)</f>
        <v>Very Good</v>
      </c>
      <c r="Q155" s="744"/>
      <c r="R155" s="745"/>
      <c r="S155" s="738"/>
      <c r="T155" s="319"/>
      <c r="U155" s="83"/>
      <c r="V155" s="123">
        <f>VLOOKUP(D155,Poeng!$B$10:$BC$252,Poeng!AG$1,FALSE)</f>
        <v>0</v>
      </c>
      <c r="W155" s="123" t="str">
        <f>VLOOKUP(D155,Poeng!$B$10:$BK$252,Poeng!BK$1,FALSE)</f>
        <v>Very Good</v>
      </c>
      <c r="X155" s="81"/>
      <c r="Y155" s="80"/>
      <c r="Z155" s="738"/>
      <c r="AA155" s="133"/>
      <c r="AB155" s="640"/>
      <c r="AC155" s="107">
        <f t="shared" si="21"/>
        <v>1</v>
      </c>
      <c r="AD155" s="3" t="e">
        <f>VLOOKUP(K155,'Assessment Details'!$O$45:$P$48,2,FALSE)</f>
        <v>#N/A</v>
      </c>
      <c r="AE155" s="3" t="e">
        <f>VLOOKUP(R155,'Assessment Details'!$O$45:$P$48,2,FALSE)</f>
        <v>#N/A</v>
      </c>
      <c r="AF155" s="3" t="e">
        <f>VLOOKUP(Y155,'Assessment Details'!$O$45:$P$48,2,FALSE)</f>
        <v>#N/A</v>
      </c>
      <c r="AI155" s="70"/>
      <c r="AJ155" s="671"/>
      <c r="AK155" s="648"/>
      <c r="AL155" s="648"/>
      <c r="AM155" s="70"/>
      <c r="AN155" s="70"/>
      <c r="AO155" s="70"/>
      <c r="AP155" s="70"/>
      <c r="AS155" s="23"/>
      <c r="AT155" s="23"/>
      <c r="AU155" s="23"/>
      <c r="AV155" s="23"/>
      <c r="AW155" s="23"/>
      <c r="AX155" s="23"/>
      <c r="AZ155" s="640"/>
    </row>
    <row r="156" spans="1:52" x14ac:dyDescent="0.25">
      <c r="A156" s="1076">
        <v>147</v>
      </c>
      <c r="B156" s="1077" t="s">
        <v>69</v>
      </c>
      <c r="C156" s="924" t="s">
        <v>375</v>
      </c>
      <c r="D156" s="824" t="s">
        <v>375</v>
      </c>
      <c r="E156" s="860" t="str">
        <f>VLOOKUP(D156,Poeng!$B$10:$R$252,Poeng!E$1,FALSE)</f>
        <v>Wst 03b Operational waste</v>
      </c>
      <c r="F156" s="865">
        <f>VLOOKUP(D156,Poeng!$B$10:$AB$252,Poeng!AB$1,FALSE)</f>
        <v>0</v>
      </c>
      <c r="G156" s="1001"/>
      <c r="H156" s="866" t="str">
        <f>VLOOKUP(D156,Poeng!$B$10:$AI$252,Poeng!AI$1,FALSE)&amp;" c. "&amp;ROUND(VLOOKUP(D156,Poeng!$B$10:$AE$252,Poeng!AE$1,FALSE)*100,1)&amp;" %"</f>
        <v>0 c. 0 %</v>
      </c>
      <c r="I156" s="924" t="str">
        <f>VLOOKUP(D156,Poeng!$B$10:$BE$252,Poeng!BE$1,FALSE)</f>
        <v>N/A</v>
      </c>
      <c r="J156" s="80"/>
      <c r="K156" s="281"/>
      <c r="L156" s="796"/>
      <c r="M156" s="816"/>
      <c r="N156" s="1001"/>
      <c r="O156" s="877" t="str">
        <f>VLOOKUP(D156,Poeng!$B$10:$BC$252,Poeng!AJ$1,FALSE)&amp;" c. "&amp;ROUND(VLOOKUP(D156,Poeng!$B$10:$BC$252,Poeng!AF$1,FALSE)*100,1)&amp;" %"</f>
        <v>0 c. 0 %</v>
      </c>
      <c r="P156" s="123" t="str">
        <f>VLOOKUP(D156,Poeng!$B$10:$BH$252,Poeng!BH$1,FALSE)</f>
        <v>N/A</v>
      </c>
      <c r="Q156" s="744"/>
      <c r="R156" s="745"/>
      <c r="S156" s="738"/>
      <c r="T156" s="319"/>
      <c r="U156" s="1001"/>
      <c r="V156" s="877" t="str">
        <f>VLOOKUP(D156,Poeng!$B$10:$BC$252,Poeng!AK$1,FALSE)&amp;" c. "&amp;ROUND(VLOOKUP(D156,Poeng!$B$10:$BC$252,Poeng!AG$1,FALSE)*100,1)&amp;" %"</f>
        <v>0 c. 0 %</v>
      </c>
      <c r="W156" s="123" t="str">
        <f>VLOOKUP(D156,Poeng!$B$10:$BK$252,Poeng!BK$1,FALSE)</f>
        <v>N/A</v>
      </c>
      <c r="X156" s="81"/>
      <c r="Y156" s="80"/>
      <c r="Z156" s="738"/>
      <c r="AA156" s="133"/>
      <c r="AB156" s="640"/>
      <c r="AC156" s="107">
        <f t="shared" si="21"/>
        <v>2</v>
      </c>
      <c r="AD156" s="3" t="e">
        <f>VLOOKUP(K156,'Assessment Details'!$O$45:$P$48,2,FALSE)</f>
        <v>#N/A</v>
      </c>
      <c r="AE156" s="3" t="e">
        <f>VLOOKUP(R156,'Assessment Details'!$O$45:$P$48,2,FALSE)</f>
        <v>#N/A</v>
      </c>
      <c r="AF156" s="3" t="e">
        <f>VLOOKUP(Y156,'Assessment Details'!$O$45:$P$48,2,FALSE)</f>
        <v>#N/A</v>
      </c>
      <c r="AI156" s="70"/>
      <c r="AJ156" s="671"/>
      <c r="AK156" s="648"/>
      <c r="AL156" s="648"/>
      <c r="AM156" s="70"/>
      <c r="AN156" s="70"/>
      <c r="AO156" s="70"/>
      <c r="AP156" s="70"/>
      <c r="AS156" s="23"/>
      <c r="AT156" s="23"/>
      <c r="AU156" s="23"/>
      <c r="AV156" s="23"/>
      <c r="AW156" s="23"/>
      <c r="AX156" s="23"/>
      <c r="AZ156" s="640"/>
    </row>
    <row r="157" spans="1:52" x14ac:dyDescent="0.25">
      <c r="A157" s="1076">
        <v>148</v>
      </c>
      <c r="B157" s="1077" t="s">
        <v>69</v>
      </c>
      <c r="C157" s="1082" t="str">
        <f t="shared" si="19"/>
        <v>Wst 03b</v>
      </c>
      <c r="D157" s="824" t="s">
        <v>793</v>
      </c>
      <c r="E157" s="861" t="str">
        <f>VLOOKUP(D157,Poeng!$B$10:$R$252,Poeng!E$1,FALSE)</f>
        <v>Sorting of waste</v>
      </c>
      <c r="F157" s="122">
        <f>VLOOKUP(D157,Poeng!$B$10:$AB$252,Poeng!AB$1,FALSE)</f>
        <v>0</v>
      </c>
      <c r="G157" s="43"/>
      <c r="H157" s="123">
        <f>VLOOKUP(D157,Poeng!$B$10:$AE$252,Poeng!AE$1,FALSE)</f>
        <v>0</v>
      </c>
      <c r="I157" s="124" t="str">
        <f>VLOOKUP(D157,Poeng!$B$10:$BE$252,Poeng!BE$1,FALSE)</f>
        <v>N/A</v>
      </c>
      <c r="J157" s="80"/>
      <c r="K157" s="281"/>
      <c r="L157" s="796"/>
      <c r="M157" s="816"/>
      <c r="N157" s="83"/>
      <c r="O157" s="123">
        <f>VLOOKUP(D157,Poeng!$B$10:$BC$252,Poeng!AF$1,FALSE)</f>
        <v>0</v>
      </c>
      <c r="P157" s="123" t="str">
        <f>VLOOKUP(D157,Poeng!$B$10:$BH$252,Poeng!BH$1,FALSE)</f>
        <v>N/A</v>
      </c>
      <c r="Q157" s="744"/>
      <c r="R157" s="745"/>
      <c r="S157" s="1095"/>
      <c r="T157" s="319"/>
      <c r="U157" s="83"/>
      <c r="V157" s="123">
        <f>VLOOKUP(D157,Poeng!$B$10:$BC$252,Poeng!AG$1,FALSE)</f>
        <v>0</v>
      </c>
      <c r="W157" s="123" t="str">
        <f>VLOOKUP(D157,Poeng!$B$10:$BK$252,Poeng!BK$1,FALSE)</f>
        <v>N/A</v>
      </c>
      <c r="X157" s="81"/>
      <c r="Y157" s="80"/>
      <c r="Z157" s="1095"/>
      <c r="AA157" s="133"/>
      <c r="AB157" s="640"/>
      <c r="AC157" s="107">
        <f t="shared" si="21"/>
        <v>2</v>
      </c>
      <c r="AD157" s="3" t="e">
        <f>VLOOKUP(K157,'Assessment Details'!$O$45:$P$48,2,FALSE)</f>
        <v>#N/A</v>
      </c>
      <c r="AE157" s="3" t="e">
        <f>VLOOKUP(R157,'Assessment Details'!$O$45:$P$48,2,FALSE)</f>
        <v>#N/A</v>
      </c>
      <c r="AF157" s="3" t="e">
        <f>VLOOKUP(Y157,'Assessment Details'!$O$45:$P$48,2,FALSE)</f>
        <v>#N/A</v>
      </c>
      <c r="AI157" s="70"/>
      <c r="AJ157" s="671"/>
      <c r="AK157" s="648"/>
      <c r="AL157" s="648"/>
      <c r="AM157" s="70"/>
      <c r="AN157" s="70"/>
      <c r="AO157" s="70"/>
      <c r="AP157" s="70"/>
      <c r="AS157" s="23"/>
      <c r="AT157" s="23"/>
      <c r="AU157" s="23"/>
      <c r="AV157" s="23"/>
      <c r="AW157" s="23"/>
      <c r="AX157" s="23"/>
      <c r="AZ157" s="640"/>
    </row>
    <row r="158" spans="1:52" x14ac:dyDescent="0.25">
      <c r="A158" s="1076">
        <v>149</v>
      </c>
      <c r="B158" s="1077" t="s">
        <v>69</v>
      </c>
      <c r="C158" s="924" t="s">
        <v>179</v>
      </c>
      <c r="D158" s="824" t="s">
        <v>179</v>
      </c>
      <c r="E158" s="860" t="str">
        <f>VLOOKUP(D158,Poeng!$B$10:$R$252,Poeng!E$1,FALSE)</f>
        <v>Wst 04 Speculative finishes</v>
      </c>
      <c r="F158" s="865">
        <f>VLOOKUP(D158,Poeng!$B$10:$AB$252,Poeng!AB$1,FALSE)</f>
        <v>1</v>
      </c>
      <c r="G158" s="1001"/>
      <c r="H158" s="866" t="str">
        <f>VLOOKUP(D158,Poeng!$B$10:$AI$252,Poeng!AI$1,FALSE)&amp;" c. "&amp;ROUND(VLOOKUP(D158,Poeng!$B$10:$AE$252,Poeng!AE$1,FALSE)*100,1)&amp;" %"</f>
        <v>0 c. 0 %</v>
      </c>
      <c r="I158" s="924" t="str">
        <f>VLOOKUP(D158,Poeng!$B$10:$BE$252,Poeng!BE$1,FALSE)</f>
        <v>N/A</v>
      </c>
      <c r="J158" s="80"/>
      <c r="K158" s="281"/>
      <c r="L158" s="796"/>
      <c r="M158" s="816"/>
      <c r="N158" s="1001"/>
      <c r="O158" s="877" t="str">
        <f>VLOOKUP(D158,Poeng!$B$10:$BC$252,Poeng!AJ$1,FALSE)&amp;" c. "&amp;ROUND(VLOOKUP(D158,Poeng!$B$10:$BC$252,Poeng!AF$1,FALSE)*100,1)&amp;" %"</f>
        <v>0 c. 0 %</v>
      </c>
      <c r="P158" s="123" t="str">
        <f>VLOOKUP(D158,Poeng!$B$10:$BH$252,Poeng!BH$1,FALSE)</f>
        <v>N/A</v>
      </c>
      <c r="Q158" s="744"/>
      <c r="R158" s="745"/>
      <c r="S158" s="738"/>
      <c r="T158" s="319"/>
      <c r="U158" s="1001"/>
      <c r="V158" s="877" t="str">
        <f>VLOOKUP(D158,Poeng!$B$10:$BC$252,Poeng!AK$1,FALSE)&amp;" c. "&amp;ROUND(VLOOKUP(D158,Poeng!$B$10:$BC$252,Poeng!AG$1,FALSE)*100,1)&amp;" %"</f>
        <v>0 c. 0 %</v>
      </c>
      <c r="W158" s="123" t="str">
        <f>VLOOKUP(D158,Poeng!$B$10:$BK$252,Poeng!BK$1,FALSE)</f>
        <v>N/A</v>
      </c>
      <c r="X158" s="81"/>
      <c r="Y158" s="80"/>
      <c r="Z158" s="738"/>
      <c r="AA158" s="133"/>
      <c r="AB158" s="640" t="s">
        <v>13</v>
      </c>
      <c r="AC158" s="107">
        <f t="shared" si="21"/>
        <v>1</v>
      </c>
      <c r="AD158" s="3" t="e">
        <f>VLOOKUP(K158,'Assessment Details'!$O$45:$P$48,2,FALSE)</f>
        <v>#N/A</v>
      </c>
      <c r="AE158" s="3" t="e">
        <f>VLOOKUP(R158,'Assessment Details'!$O$45:$P$48,2,FALSE)</f>
        <v>#N/A</v>
      </c>
      <c r="AF158" s="3" t="e">
        <f>VLOOKUP(Y158,'Assessment Details'!$O$45:$P$48,2,FALSE)</f>
        <v>#N/A</v>
      </c>
      <c r="AI158" s="70"/>
      <c r="AJ158" s="671" t="s">
        <v>215</v>
      </c>
      <c r="AK158" s="648" t="s">
        <v>13</v>
      </c>
      <c r="AL158" s="648" t="s">
        <v>12</v>
      </c>
      <c r="AM158" s="70"/>
      <c r="AN158" s="70"/>
      <c r="AO158" s="70"/>
      <c r="AP158" s="70"/>
      <c r="AS158" s="23" t="str">
        <f t="shared" si="13"/>
        <v>N/A</v>
      </c>
      <c r="AT158" s="23" t="str">
        <f t="shared" si="14"/>
        <v>N/A</v>
      </c>
      <c r="AU158" s="23" t="str">
        <f t="shared" si="15"/>
        <v>N/A</v>
      </c>
      <c r="AV158" s="23"/>
      <c r="AW158" s="23"/>
      <c r="AX158" s="23"/>
      <c r="AZ158" s="640"/>
    </row>
    <row r="159" spans="1:52" x14ac:dyDescent="0.25">
      <c r="A159" s="1076">
        <v>150</v>
      </c>
      <c r="B159" s="1077" t="s">
        <v>69</v>
      </c>
      <c r="C159" s="1082" t="str">
        <f t="shared" si="19"/>
        <v>Wst 04</v>
      </c>
      <c r="D159" s="824" t="s">
        <v>794</v>
      </c>
      <c r="E159" s="861" t="str">
        <f>VLOOKUP(D159,Poeng!$B$10:$R$252,Poeng!E$1,FALSE)</f>
        <v xml:space="preserve">User involvement surface finishes </v>
      </c>
      <c r="F159" s="122">
        <f>VLOOKUP(D159,Poeng!$B$10:$AB$252,Poeng!AB$1,FALSE)</f>
        <v>1</v>
      </c>
      <c r="G159" s="43"/>
      <c r="H159" s="123">
        <f>VLOOKUP(D159,Poeng!$B$10:$AE$252,Poeng!AE$1,FALSE)</f>
        <v>0</v>
      </c>
      <c r="I159" s="124" t="str">
        <f>VLOOKUP(D159,Poeng!$B$10:$BE$252,Poeng!BE$1,FALSE)</f>
        <v>N/A</v>
      </c>
      <c r="J159" s="80"/>
      <c r="K159" s="281"/>
      <c r="L159" s="796"/>
      <c r="M159" s="816"/>
      <c r="N159" s="83"/>
      <c r="O159" s="123">
        <f>VLOOKUP(D159,Poeng!$B$10:$BC$252,Poeng!AF$1,FALSE)</f>
        <v>0</v>
      </c>
      <c r="P159" s="123" t="str">
        <f>VLOOKUP(D159,Poeng!$B$10:$BH$252,Poeng!BH$1,FALSE)</f>
        <v>N/A</v>
      </c>
      <c r="Q159" s="744"/>
      <c r="R159" s="745"/>
      <c r="S159" s="738"/>
      <c r="T159" s="319"/>
      <c r="U159" s="83"/>
      <c r="V159" s="123">
        <f>VLOOKUP(D159,Poeng!$B$10:$BC$252,Poeng!AG$1,FALSE)</f>
        <v>0</v>
      </c>
      <c r="W159" s="123" t="str">
        <f>VLOOKUP(D159,Poeng!$B$10:$BK$252,Poeng!BK$1,FALSE)</f>
        <v>N/A</v>
      </c>
      <c r="X159" s="81"/>
      <c r="Y159" s="80"/>
      <c r="Z159" s="738"/>
      <c r="AA159" s="133"/>
      <c r="AB159" s="714"/>
      <c r="AC159" s="107">
        <f t="shared" si="21"/>
        <v>1</v>
      </c>
      <c r="AD159" s="3" t="e">
        <f>VLOOKUP(K159,'Assessment Details'!$O$45:$P$48,2,FALSE)</f>
        <v>#N/A</v>
      </c>
      <c r="AE159" s="3" t="e">
        <f>VLOOKUP(R159,'Assessment Details'!$O$45:$P$48,2,FALSE)</f>
        <v>#N/A</v>
      </c>
      <c r="AF159" s="3" t="e">
        <f>VLOOKUP(Y159,'Assessment Details'!$O$45:$P$48,2,FALSE)</f>
        <v>#N/A</v>
      </c>
      <c r="AI159" s="70"/>
      <c r="AJ159" s="671"/>
      <c r="AK159" s="648"/>
      <c r="AL159" s="648"/>
      <c r="AM159" s="70"/>
      <c r="AN159" s="70"/>
      <c r="AO159" s="70"/>
      <c r="AP159" s="70"/>
      <c r="AS159" s="23"/>
      <c r="AT159" s="23"/>
      <c r="AU159" s="23"/>
      <c r="AV159" s="23"/>
      <c r="AW159" s="23"/>
      <c r="AX159" s="23"/>
      <c r="AZ159" s="714"/>
    </row>
    <row r="160" spans="1:52" ht="15.75" thickBot="1" x14ac:dyDescent="0.3">
      <c r="A160" s="1076">
        <v>151</v>
      </c>
      <c r="B160" s="1077" t="s">
        <v>69</v>
      </c>
      <c r="C160" s="1089"/>
      <c r="D160" s="824" t="s">
        <v>888</v>
      </c>
      <c r="E160" s="341" t="s">
        <v>109</v>
      </c>
      <c r="F160" s="125">
        <f>Wst_Credits</f>
        <v>7</v>
      </c>
      <c r="G160" s="131"/>
      <c r="H160" s="126">
        <f>Wst_cont_tot</f>
        <v>0</v>
      </c>
      <c r="I160" s="867" t="str">
        <f>"Credits achieved: "&amp;Wst_tot_user</f>
        <v>Credits achieved: 0</v>
      </c>
      <c r="J160" s="134"/>
      <c r="K160" s="282"/>
      <c r="L160" s="746"/>
      <c r="M160" s="816"/>
      <c r="N160" s="383"/>
      <c r="O160" s="126">
        <f>VLOOKUP(D160,Poeng!$B$10:$BC$252,Poeng!AF$1,FALSE)</f>
        <v>0</v>
      </c>
      <c r="P160" s="867" t="str">
        <f>"Credits achieved: "&amp;Wst_d_user</f>
        <v>Credits achieved: 0</v>
      </c>
      <c r="Q160" s="747"/>
      <c r="R160" s="748"/>
      <c r="S160" s="746"/>
      <c r="T160" s="319"/>
      <c r="U160" s="383"/>
      <c r="V160" s="126">
        <f>VLOOKUP(D160,Poeng!$B$10:$BC$252,Poeng!AG$1,FALSE)</f>
        <v>0</v>
      </c>
      <c r="W160" s="867" t="str">
        <f>"Credits achieved: "&amp;Wst_c_user</f>
        <v>Credits achieved: 0</v>
      </c>
      <c r="X160" s="382"/>
      <c r="Y160" s="136"/>
      <c r="Z160" s="746"/>
      <c r="AA160" s="133"/>
      <c r="AB160" s="641"/>
      <c r="AC160" s="107">
        <f t="shared" si="21"/>
        <v>1</v>
      </c>
      <c r="AD160" s="276">
        <v>0</v>
      </c>
      <c r="AE160" s="276">
        <v>0</v>
      </c>
      <c r="AF160" s="276">
        <v>0</v>
      </c>
      <c r="AI160" s="70"/>
      <c r="AJ160" s="671" t="s">
        <v>109</v>
      </c>
      <c r="AK160" s="70"/>
      <c r="AL160" s="70"/>
      <c r="AM160" s="70"/>
      <c r="AN160" s="70"/>
      <c r="AO160" s="70"/>
      <c r="AP160" s="70"/>
      <c r="AS160" s="23" t="str">
        <f t="shared" si="13"/>
        <v>N/A</v>
      </c>
      <c r="AT160" s="23" t="str">
        <f t="shared" si="14"/>
        <v>N/A</v>
      </c>
      <c r="AU160" s="23" t="str">
        <f t="shared" si="15"/>
        <v>N/A</v>
      </c>
      <c r="AV160" s="23"/>
      <c r="AW160" s="23"/>
      <c r="AX160" s="23"/>
      <c r="AZ160" s="641"/>
    </row>
    <row r="161" spans="1:52" x14ac:dyDescent="0.25">
      <c r="A161" s="1076">
        <v>152</v>
      </c>
      <c r="B161" s="1077" t="s">
        <v>69</v>
      </c>
      <c r="C161" s="1085"/>
      <c r="D161" s="824"/>
      <c r="E161" s="334"/>
      <c r="F161" s="322"/>
      <c r="G161" s="323"/>
      <c r="H161" s="322"/>
      <c r="I161" s="322"/>
      <c r="J161" s="324"/>
      <c r="K161" s="323"/>
      <c r="L161" s="749"/>
      <c r="M161" s="815"/>
      <c r="N161" s="325"/>
      <c r="O161" s="325"/>
      <c r="P161" s="749"/>
      <c r="Q161" s="749"/>
      <c r="R161" s="750"/>
      <c r="S161" s="1094"/>
      <c r="T161" s="326"/>
      <c r="U161" s="325"/>
      <c r="V161" s="325"/>
      <c r="W161" s="749"/>
      <c r="X161" s="324"/>
      <c r="Y161" s="325"/>
      <c r="Z161" s="1094"/>
      <c r="AA161" s="699"/>
      <c r="AB161" s="324"/>
      <c r="AC161" s="107">
        <f t="shared" si="21"/>
        <v>1</v>
      </c>
      <c r="AD161" s="278">
        <v>0</v>
      </c>
      <c r="AE161" s="278">
        <v>0</v>
      </c>
      <c r="AF161" s="278">
        <v>0</v>
      </c>
      <c r="AI161" s="70"/>
      <c r="AJ161" s="671"/>
      <c r="AK161" s="70"/>
      <c r="AL161" s="70"/>
      <c r="AM161" s="70"/>
      <c r="AN161" s="70"/>
      <c r="AO161" s="70"/>
      <c r="AP161" s="70"/>
      <c r="AS161" s="23" t="str">
        <f t="shared" si="13"/>
        <v>N/A</v>
      </c>
      <c r="AT161" s="23" t="str">
        <f t="shared" si="14"/>
        <v>N/A</v>
      </c>
      <c r="AU161" s="23" t="str">
        <f t="shared" si="15"/>
        <v>N/A</v>
      </c>
      <c r="AV161" s="23"/>
      <c r="AW161" s="23"/>
      <c r="AX161" s="23"/>
      <c r="AZ161" s="324"/>
    </row>
    <row r="162" spans="1:52" ht="18.75" x14ac:dyDescent="0.25">
      <c r="A162" s="1076">
        <v>153</v>
      </c>
      <c r="B162" s="1077" t="s">
        <v>70</v>
      </c>
      <c r="C162" s="1086"/>
      <c r="D162" s="824"/>
      <c r="E162" s="335" t="s">
        <v>57</v>
      </c>
      <c r="F162" s="315"/>
      <c r="G162" s="316"/>
      <c r="H162" s="336"/>
      <c r="I162" s="315"/>
      <c r="J162" s="328"/>
      <c r="K162" s="329"/>
      <c r="L162" s="752"/>
      <c r="M162" s="816"/>
      <c r="N162" s="339"/>
      <c r="O162" s="332"/>
      <c r="P162" s="742"/>
      <c r="Q162" s="753"/>
      <c r="R162" s="754"/>
      <c r="S162" s="755"/>
      <c r="T162" s="319"/>
      <c r="U162" s="339"/>
      <c r="V162" s="338"/>
      <c r="W162" s="742"/>
      <c r="X162" s="328"/>
      <c r="Y162" s="338"/>
      <c r="Z162" s="752"/>
      <c r="AA162" s="133"/>
      <c r="AB162" s="337"/>
      <c r="AC162" s="107">
        <f t="shared" si="21"/>
        <v>1</v>
      </c>
      <c r="AD162" s="275">
        <v>0</v>
      </c>
      <c r="AE162" s="275">
        <v>0</v>
      </c>
      <c r="AF162" s="275">
        <v>0</v>
      </c>
      <c r="AI162" s="70"/>
      <c r="AJ162" s="671" t="s">
        <v>57</v>
      </c>
      <c r="AK162" s="70"/>
      <c r="AL162" s="70"/>
      <c r="AM162" s="70"/>
      <c r="AN162" s="70"/>
      <c r="AO162" s="70"/>
      <c r="AP162" s="70"/>
      <c r="AS162" s="23" t="str">
        <f t="shared" ref="AS162:AS226" si="24">IF($AJ$4=ais_nei,AIS_NA,IF(AK162="",AIS_NA,AK162))</f>
        <v>N/A</v>
      </c>
      <c r="AT162" s="23" t="str">
        <f t="shared" ref="AT162:AT226" si="25">IF($AJ$4=ais_nei,AIS_NA,IF(AL162="",AIS_NA,AL162))</f>
        <v>N/A</v>
      </c>
      <c r="AU162" s="23" t="str">
        <f t="shared" ref="AU162:AV226" si="26">IF($AJ$4=ais_nei,AIS_NA,IF(AM162="",AIS_NA,AM162))</f>
        <v>N/A</v>
      </c>
      <c r="AV162" s="23"/>
      <c r="AW162" s="23"/>
      <c r="AX162" s="23"/>
      <c r="AZ162" s="337"/>
    </row>
    <row r="163" spans="1:52" x14ac:dyDescent="0.25">
      <c r="A163" s="1076">
        <v>154</v>
      </c>
      <c r="B163" s="1077" t="s">
        <v>70</v>
      </c>
      <c r="C163" s="924" t="s">
        <v>180</v>
      </c>
      <c r="D163" s="824" t="s">
        <v>180</v>
      </c>
      <c r="E163" s="860" t="str">
        <f>VLOOKUP(D163,Poeng!$B$10:$R$252,Poeng!E$1,FALSE)</f>
        <v>LE 01 Site selection</v>
      </c>
      <c r="F163" s="865">
        <f>VLOOKUP(D163,Poeng!$B$10:$AB$252,Poeng!AB$1,FALSE)</f>
        <v>2</v>
      </c>
      <c r="G163" s="1000"/>
      <c r="H163" s="866" t="str">
        <f>VLOOKUP(D163,Poeng!$B$10:$AI$252,Poeng!AI$1,FALSE)&amp;" c. "&amp;ROUND(VLOOKUP(D163,Poeng!$B$10:$AE$252,Poeng!AE$1,FALSE)*100,1)&amp;" %"</f>
        <v>0 c. 0 %</v>
      </c>
      <c r="I163" s="923" t="str">
        <f>VLOOKUP(D163,Poeng!$B$10:$BE$252,Poeng!BE$1,FALSE)</f>
        <v>N/A</v>
      </c>
      <c r="J163" s="874"/>
      <c r="K163" s="875"/>
      <c r="L163" s="876"/>
      <c r="M163" s="815"/>
      <c r="N163" s="1001"/>
      <c r="O163" s="1093" t="str">
        <f>VLOOKUP(D163,Poeng!$B$10:$BC$252,Poeng!AJ$1,FALSE)&amp;" c. "&amp;ROUND(VLOOKUP(D163,Poeng!$B$10:$BC$252,Poeng!AF$1,FALSE)*100,1)&amp;" %"</f>
        <v>0 c. 0 %</v>
      </c>
      <c r="P163" s="123" t="str">
        <f>VLOOKUP(D163,Poeng!$B$10:$BH$252,Poeng!BH$1,FALSE)</f>
        <v>N/A</v>
      </c>
      <c r="Q163" s="744"/>
      <c r="R163" s="745"/>
      <c r="S163" s="738"/>
      <c r="T163" s="319"/>
      <c r="U163" s="1001"/>
      <c r="V163" s="877" t="str">
        <f>VLOOKUP(D163,Poeng!$B$10:$BC$252,Poeng!AK$1,FALSE)&amp;" c. "&amp;ROUND(VLOOKUP(D163,Poeng!$B$10:$BC$252,Poeng!AG$1,FALSE)*100,1)&amp;" %"</f>
        <v>0 c. 0 %</v>
      </c>
      <c r="W163" s="123" t="str">
        <f>VLOOKUP(D163,Poeng!$B$10:$BK$252,Poeng!BK$1,FALSE)</f>
        <v>N/A</v>
      </c>
      <c r="X163" s="81"/>
      <c r="Y163" s="80"/>
      <c r="Z163" s="738"/>
      <c r="AA163" s="133"/>
      <c r="AB163" s="640" t="s">
        <v>14</v>
      </c>
      <c r="AC163" s="107">
        <f t="shared" si="21"/>
        <v>1</v>
      </c>
      <c r="AD163" s="3" t="e">
        <f>VLOOKUP(K163,'Assessment Details'!$O$45:$P$48,2,FALSE)</f>
        <v>#N/A</v>
      </c>
      <c r="AE163" s="3" t="e">
        <f>VLOOKUP(R163,'Assessment Details'!$O$45:$P$48,2,FALSE)</f>
        <v>#N/A</v>
      </c>
      <c r="AF163" s="3" t="e">
        <f>VLOOKUP(Y163,'Assessment Details'!$O$45:$P$48,2,FALSE)</f>
        <v>#N/A</v>
      </c>
      <c r="AI163" s="70"/>
      <c r="AJ163" s="671" t="s">
        <v>160</v>
      </c>
      <c r="AK163" s="70"/>
      <c r="AL163" s="70"/>
      <c r="AM163" s="70"/>
      <c r="AN163" s="70"/>
      <c r="AO163" s="70"/>
      <c r="AP163" s="70"/>
      <c r="AS163" s="23" t="str">
        <f t="shared" si="24"/>
        <v>N/A</v>
      </c>
      <c r="AT163" s="23" t="str">
        <f t="shared" si="25"/>
        <v>N/A</v>
      </c>
      <c r="AU163" s="23" t="str">
        <f t="shared" si="26"/>
        <v>N/A</v>
      </c>
      <c r="AV163" s="23"/>
      <c r="AW163" s="23"/>
      <c r="AX163" s="23"/>
      <c r="AZ163" s="640"/>
    </row>
    <row r="164" spans="1:52" x14ac:dyDescent="0.25">
      <c r="A164" s="1076">
        <v>155</v>
      </c>
      <c r="B164" s="1077" t="s">
        <v>70</v>
      </c>
      <c r="C164" s="1082" t="str">
        <f t="shared" si="19"/>
        <v>LE 01</v>
      </c>
      <c r="D164" s="824" t="s">
        <v>797</v>
      </c>
      <c r="E164" s="861" t="str">
        <f>VLOOKUP(D164,Poeng!$B$10:$R$252,Poeng!E$1,FALSE)</f>
        <v>Previously occupied land</v>
      </c>
      <c r="F164" s="122">
        <f>VLOOKUP(D164,Poeng!$B$10:$AB$252,Poeng!AB$1,FALSE)</f>
        <v>2</v>
      </c>
      <c r="G164" s="43"/>
      <c r="H164" s="123">
        <f>VLOOKUP(D164,Poeng!$B$10:$AE$252,Poeng!AE$1,FALSE)</f>
        <v>0</v>
      </c>
      <c r="I164" s="124" t="str">
        <f>VLOOKUP(D164,Poeng!$B$10:$BE$252,Poeng!BE$1,FALSE)</f>
        <v>N/A</v>
      </c>
      <c r="J164" s="80"/>
      <c r="K164" s="281"/>
      <c r="L164" s="796"/>
      <c r="M164" s="816"/>
      <c r="N164" s="83"/>
      <c r="O164" s="123">
        <f>VLOOKUP(D164,Poeng!$B$10:$BC$252,Poeng!AF$1,FALSE)</f>
        <v>0</v>
      </c>
      <c r="P164" s="123" t="str">
        <f>VLOOKUP(D164,Poeng!$B$10:$BH$252,Poeng!BH$1,FALSE)</f>
        <v>N/A</v>
      </c>
      <c r="Q164" s="744"/>
      <c r="R164" s="745"/>
      <c r="S164" s="738"/>
      <c r="T164" s="319"/>
      <c r="U164" s="83"/>
      <c r="V164" s="123">
        <f>VLOOKUP(D164,Poeng!$B$10:$BC$252,Poeng!AG$1,FALSE)</f>
        <v>0</v>
      </c>
      <c r="W164" s="123" t="str">
        <f>VLOOKUP(D164,Poeng!$B$10:$BK$252,Poeng!BK$1,FALSE)</f>
        <v>N/A</v>
      </c>
      <c r="X164" s="81"/>
      <c r="Y164" s="80"/>
      <c r="Z164" s="738"/>
      <c r="AA164" s="133"/>
      <c r="AB164" s="640"/>
      <c r="AC164" s="107">
        <f t="shared" si="21"/>
        <v>1</v>
      </c>
      <c r="AD164" s="3" t="e">
        <f>VLOOKUP(K164,'Assessment Details'!$O$45:$P$48,2,FALSE)</f>
        <v>#N/A</v>
      </c>
      <c r="AE164" s="3" t="e">
        <f>VLOOKUP(R164,'Assessment Details'!$O$45:$P$48,2,FALSE)</f>
        <v>#N/A</v>
      </c>
      <c r="AF164" s="3" t="e">
        <f>VLOOKUP(Y164,'Assessment Details'!$O$45:$P$48,2,FALSE)</f>
        <v>#N/A</v>
      </c>
      <c r="AI164" s="70"/>
      <c r="AJ164" s="671"/>
      <c r="AK164" s="70"/>
      <c r="AL164" s="70"/>
      <c r="AM164" s="70"/>
      <c r="AN164" s="70"/>
      <c r="AO164" s="70"/>
      <c r="AP164" s="70"/>
      <c r="AS164" s="23"/>
      <c r="AT164" s="23"/>
      <c r="AU164" s="23"/>
      <c r="AV164" s="23"/>
      <c r="AW164" s="23"/>
      <c r="AX164" s="23"/>
      <c r="AZ164" s="640"/>
    </row>
    <row r="165" spans="1:52" ht="14.25" customHeight="1" x14ac:dyDescent="0.25">
      <c r="A165" s="1076">
        <v>156</v>
      </c>
      <c r="B165" s="1077" t="s">
        <v>70</v>
      </c>
      <c r="C165" s="1082" t="str">
        <f t="shared" si="19"/>
        <v>LE 01</v>
      </c>
      <c r="D165" s="824" t="s">
        <v>981</v>
      </c>
      <c r="E165" s="1071" t="str">
        <f>VLOOKUP(D165,Poeng!$B$10:$R$252,Poeng!E$1,FALSE)</f>
        <v>Minimum req: agricultural area / forest (EU taxonomy requirement: criterion 2)</v>
      </c>
      <c r="F165" s="122" t="str">
        <f>VLOOKUP(D165,Poeng!$B$10:$AB$252,Poeng!AB$1,FALSE)</f>
        <v>Yes/No</v>
      </c>
      <c r="G165" s="43"/>
      <c r="H165" s="123" t="str">
        <f>VLOOKUP(D165,Poeng!$B$10:$AE$252,Poeng!AE$1,FALSE)</f>
        <v>-</v>
      </c>
      <c r="I165" s="124" t="str">
        <f>VLOOKUP(D165,Poeng!$B$10:$BE$252,Poeng!BE$1,FALSE)</f>
        <v>Very Good</v>
      </c>
      <c r="J165" s="80"/>
      <c r="K165" s="281"/>
      <c r="L165" s="796"/>
      <c r="M165" s="816"/>
      <c r="N165" s="83"/>
      <c r="O165" s="123" t="str">
        <f>VLOOKUP(D165,Poeng!$B$10:$BC$252,Poeng!AF$1,FALSE)</f>
        <v>-</v>
      </c>
      <c r="P165" s="123" t="str">
        <f>VLOOKUP(D165,Poeng!$B$10:$BH$252,Poeng!BH$1,FALSE)</f>
        <v>Very Good</v>
      </c>
      <c r="Q165" s="744"/>
      <c r="R165" s="745"/>
      <c r="S165" s="738"/>
      <c r="T165" s="319"/>
      <c r="U165" s="83"/>
      <c r="V165" s="123" t="str">
        <f>VLOOKUP(D165,Poeng!$B$10:$BC$252,Poeng!AG$1,FALSE)</f>
        <v>-</v>
      </c>
      <c r="W165" s="123" t="str">
        <f>VLOOKUP(D165,Poeng!$B$10:$BK$252,Poeng!BK$1,FALSE)</f>
        <v>Very Good</v>
      </c>
      <c r="X165" s="81"/>
      <c r="Y165" s="80"/>
      <c r="Z165" s="738"/>
      <c r="AA165" s="133"/>
      <c r="AB165" s="640"/>
      <c r="AC165" s="107">
        <f t="shared" ref="AC165" si="27">IF(F165="",1,IF(F165=0,2,1))</f>
        <v>1</v>
      </c>
      <c r="AD165" s="3" t="e">
        <f>VLOOKUP(K165,'Assessment Details'!$O$45:$P$48,2,FALSE)</f>
        <v>#N/A</v>
      </c>
      <c r="AE165" s="3" t="e">
        <f>VLOOKUP(R165,'Assessment Details'!$O$45:$P$48,2,FALSE)</f>
        <v>#N/A</v>
      </c>
      <c r="AF165" s="3" t="e">
        <f>VLOOKUP(Y165,'Assessment Details'!$O$45:$P$48,2,FALSE)</f>
        <v>#N/A</v>
      </c>
      <c r="AI165" s="70"/>
      <c r="AJ165" s="671"/>
      <c r="AK165" s="70"/>
      <c r="AL165" s="70"/>
      <c r="AM165" s="70"/>
      <c r="AN165" s="70"/>
      <c r="AO165" s="70"/>
      <c r="AP165" s="70"/>
      <c r="AS165" s="23"/>
      <c r="AT165" s="23"/>
      <c r="AU165" s="23"/>
      <c r="AV165" s="23"/>
      <c r="AW165" s="23"/>
      <c r="AX165" s="23"/>
      <c r="AZ165" s="640"/>
    </row>
    <row r="166" spans="1:52" x14ac:dyDescent="0.25">
      <c r="A166" s="1076">
        <v>157</v>
      </c>
      <c r="B166" s="1077" t="s">
        <v>70</v>
      </c>
      <c r="C166" s="924" t="s">
        <v>181</v>
      </c>
      <c r="D166" s="824" t="s">
        <v>181</v>
      </c>
      <c r="E166" s="860" t="str">
        <f>VLOOKUP(D166,Poeng!$B$10:$R$252,Poeng!E$1,FALSE)</f>
        <v>LE 02 Ecological risks and opportunities</v>
      </c>
      <c r="F166" s="865">
        <f>VLOOKUP(D166,Poeng!$B$10:$AB$252,Poeng!AB$1,FALSE)</f>
        <v>2</v>
      </c>
      <c r="G166" s="1001"/>
      <c r="H166" s="866" t="str">
        <f>VLOOKUP(D166,Poeng!$B$10:$AI$252,Poeng!AI$1,FALSE)&amp;" c. "&amp;ROUND(VLOOKUP(D166,Poeng!$B$10:$AE$252,Poeng!AE$1,FALSE)*100,1)&amp;" %"</f>
        <v>0 c. 0 %</v>
      </c>
      <c r="I166" s="924" t="str">
        <f>VLOOKUP(D166,Poeng!$B$10:$BE$252,Poeng!BE$1,FALSE)</f>
        <v>N/A</v>
      </c>
      <c r="J166" s="80"/>
      <c r="K166" s="281"/>
      <c r="L166" s="796"/>
      <c r="M166" s="816"/>
      <c r="N166" s="1001"/>
      <c r="O166" s="877" t="str">
        <f>VLOOKUP(D166,Poeng!$B$10:$BC$252,Poeng!AJ$1,FALSE)&amp;" c. "&amp;ROUND(VLOOKUP(D166,Poeng!$B$10:$BC$252,Poeng!AF$1,FALSE)*100,1)&amp;" %"</f>
        <v>0 c. 0 %</v>
      </c>
      <c r="P166" s="123" t="str">
        <f>VLOOKUP(D166,Poeng!$B$10:$BH$252,Poeng!BH$1,FALSE)</f>
        <v>N/A</v>
      </c>
      <c r="Q166" s="744"/>
      <c r="R166" s="745"/>
      <c r="S166" s="738"/>
      <c r="T166" s="319"/>
      <c r="U166" s="1001"/>
      <c r="V166" s="877" t="str">
        <f>VLOOKUP(D166,Poeng!$B$10:$BC$252,Poeng!AK$1,FALSE)&amp;" c. "&amp;ROUND(VLOOKUP(D166,Poeng!$B$10:$BC$252,Poeng!AG$1,FALSE)*100,1)&amp;" %"</f>
        <v>0 c. 0 %</v>
      </c>
      <c r="W166" s="123" t="str">
        <f>VLOOKUP(D166,Poeng!$B$10:$BK$252,Poeng!BK$1,FALSE)</f>
        <v>N/A</v>
      </c>
      <c r="X166" s="81"/>
      <c r="Y166" s="80"/>
      <c r="Z166" s="738"/>
      <c r="AA166" s="133"/>
      <c r="AB166" s="640" t="s">
        <v>14</v>
      </c>
      <c r="AC166" s="107">
        <f t="shared" si="21"/>
        <v>1</v>
      </c>
      <c r="AD166" s="3" t="e">
        <f>VLOOKUP(K166,'Assessment Details'!$O$45:$P$48,2,FALSE)</f>
        <v>#N/A</v>
      </c>
      <c r="AE166" s="3" t="e">
        <f>VLOOKUP(R166,'Assessment Details'!$O$45:$P$48,2,FALSE)</f>
        <v>#N/A</v>
      </c>
      <c r="AF166" s="3" t="e">
        <f>VLOOKUP(Y166,'Assessment Details'!$O$45:$P$48,2,FALSE)</f>
        <v>#N/A</v>
      </c>
      <c r="AI166" s="70"/>
      <c r="AJ166" s="671" t="s">
        <v>161</v>
      </c>
      <c r="AK166" s="70"/>
      <c r="AL166" s="70"/>
      <c r="AM166" s="70"/>
      <c r="AN166" s="70"/>
      <c r="AO166" s="70"/>
      <c r="AP166" s="70"/>
      <c r="AS166" s="23" t="str">
        <f t="shared" si="24"/>
        <v>N/A</v>
      </c>
      <c r="AT166" s="23" t="str">
        <f t="shared" si="25"/>
        <v>N/A</v>
      </c>
      <c r="AU166" s="23" t="str">
        <f t="shared" si="26"/>
        <v>N/A</v>
      </c>
      <c r="AV166" s="23"/>
      <c r="AW166" s="23"/>
      <c r="AX166" s="23"/>
      <c r="AZ166" s="640"/>
    </row>
    <row r="167" spans="1:52" x14ac:dyDescent="0.25">
      <c r="A167" s="1076">
        <v>158</v>
      </c>
      <c r="B167" s="1077" t="s">
        <v>70</v>
      </c>
      <c r="C167" s="1082" t="str">
        <f t="shared" si="19"/>
        <v>LE 02</v>
      </c>
      <c r="D167" s="824" t="s">
        <v>798</v>
      </c>
      <c r="E167" s="861" t="str">
        <f>VLOOKUP(D167,Poeng!$B$10:$R$252,Poeng!E$1,FALSE)</f>
        <v>Pre-requisite: statutory obligations fulfilled</v>
      </c>
      <c r="F167" s="122" t="str">
        <f>VLOOKUP(D167,Poeng!$B$10:$AB$252,Poeng!AB$1,FALSE)</f>
        <v>Yes/No</v>
      </c>
      <c r="G167" s="43"/>
      <c r="H167" s="123" t="str">
        <f>VLOOKUP(D167,Poeng!$B$10:$AE$252,Poeng!AE$1,FALSE)</f>
        <v>-</v>
      </c>
      <c r="I167" s="124" t="str">
        <f>VLOOKUP(D167,Poeng!$B$10:$BE$252,Poeng!BE$1,FALSE)</f>
        <v>N/A</v>
      </c>
      <c r="J167" s="80"/>
      <c r="K167" s="281"/>
      <c r="L167" s="796"/>
      <c r="M167" s="816"/>
      <c r="N167" s="83"/>
      <c r="O167" s="123" t="str">
        <f>VLOOKUP(D167,Poeng!$B$10:$BC$252,Poeng!AF$1,FALSE)</f>
        <v>-</v>
      </c>
      <c r="P167" s="123" t="str">
        <f>VLOOKUP(D167,Poeng!$B$10:$BH$252,Poeng!BH$1,FALSE)</f>
        <v>N/A</v>
      </c>
      <c r="Q167" s="744"/>
      <c r="R167" s="745"/>
      <c r="S167" s="738"/>
      <c r="T167" s="319"/>
      <c r="U167" s="83"/>
      <c r="V167" s="123" t="str">
        <f>VLOOKUP(D167,Poeng!$B$10:$BC$252,Poeng!AG$1,FALSE)</f>
        <v>-</v>
      </c>
      <c r="W167" s="123" t="str">
        <f>VLOOKUP(D167,Poeng!$B$10:$BK$252,Poeng!BK$1,FALSE)</f>
        <v>N/A</v>
      </c>
      <c r="X167" s="81"/>
      <c r="Y167" s="80"/>
      <c r="Z167" s="738"/>
      <c r="AA167" s="133"/>
      <c r="AB167" s="640"/>
      <c r="AC167" s="107">
        <f t="shared" si="21"/>
        <v>1</v>
      </c>
      <c r="AD167" s="3" t="e">
        <f>VLOOKUP(K167,'Assessment Details'!$O$45:$P$48,2,FALSE)</f>
        <v>#N/A</v>
      </c>
      <c r="AE167" s="3" t="e">
        <f>VLOOKUP(R167,'Assessment Details'!$O$45:$P$48,2,FALSE)</f>
        <v>#N/A</v>
      </c>
      <c r="AF167" s="3" t="e">
        <f>VLOOKUP(Y167,'Assessment Details'!$O$45:$P$48,2,FALSE)</f>
        <v>#N/A</v>
      </c>
      <c r="AI167" s="70"/>
      <c r="AJ167" s="671"/>
      <c r="AK167" s="70"/>
      <c r="AL167" s="70"/>
      <c r="AM167" s="70"/>
      <c r="AN167" s="70"/>
      <c r="AO167" s="70"/>
      <c r="AP167" s="70"/>
      <c r="AS167" s="23"/>
      <c r="AT167" s="23"/>
      <c r="AU167" s="23"/>
      <c r="AV167" s="23"/>
      <c r="AW167" s="23"/>
      <c r="AX167" s="23"/>
      <c r="AZ167" s="640"/>
    </row>
    <row r="168" spans="1:52" x14ac:dyDescent="0.25">
      <c r="A168" s="1076">
        <v>159</v>
      </c>
      <c r="B168" s="1077" t="s">
        <v>70</v>
      </c>
      <c r="C168" s="1082" t="str">
        <f t="shared" si="19"/>
        <v>LE 02</v>
      </c>
      <c r="D168" s="824" t="s">
        <v>799</v>
      </c>
      <c r="E168" s="861" t="str">
        <f>VLOOKUP(D168,Poeng!$B$10:$R$252,Poeng!E$1,FALSE)</f>
        <v>Survey and evaluation (EU taxonomy requirement: criterion 2-4)</v>
      </c>
      <c r="F168" s="122">
        <f>VLOOKUP(D168,Poeng!$B$10:$AB$252,Poeng!AB$1,FALSE)</f>
        <v>1</v>
      </c>
      <c r="G168" s="43"/>
      <c r="H168" s="123">
        <f>VLOOKUP(D168,Poeng!$B$10:$AE$252,Poeng!AE$1,FALSE)</f>
        <v>0</v>
      </c>
      <c r="I168" s="124" t="str">
        <f>VLOOKUP(D168,Poeng!$B$10:$BE$252,Poeng!BE$1,FALSE)</f>
        <v>Good</v>
      </c>
      <c r="J168" s="80"/>
      <c r="K168" s="281"/>
      <c r="L168" s="796"/>
      <c r="M168" s="816"/>
      <c r="N168" s="83"/>
      <c r="O168" s="123">
        <f>VLOOKUP(D168,Poeng!$B$10:$BC$252,Poeng!AF$1,FALSE)</f>
        <v>0</v>
      </c>
      <c r="P168" s="123" t="str">
        <f>VLOOKUP(D168,Poeng!$B$10:$BH$252,Poeng!BH$1,FALSE)</f>
        <v>Good</v>
      </c>
      <c r="Q168" s="744"/>
      <c r="R168" s="745"/>
      <c r="S168" s="738"/>
      <c r="T168" s="319"/>
      <c r="U168" s="83"/>
      <c r="V168" s="123">
        <f>VLOOKUP(D168,Poeng!$B$10:$BC$252,Poeng!AG$1,FALSE)</f>
        <v>0</v>
      </c>
      <c r="W168" s="123" t="str">
        <f>VLOOKUP(D168,Poeng!$B$10:$BK$252,Poeng!BK$1,FALSE)</f>
        <v>Good</v>
      </c>
      <c r="X168" s="81"/>
      <c r="Y168" s="80"/>
      <c r="Z168" s="738"/>
      <c r="AA168" s="133"/>
      <c r="AB168" s="640"/>
      <c r="AC168" s="107">
        <f t="shared" si="21"/>
        <v>1</v>
      </c>
      <c r="AD168" s="3" t="e">
        <f>VLOOKUP(K168,'Assessment Details'!$O$45:$P$48,2,FALSE)</f>
        <v>#N/A</v>
      </c>
      <c r="AE168" s="3" t="e">
        <f>VLOOKUP(R168,'Assessment Details'!$O$45:$P$48,2,FALSE)</f>
        <v>#N/A</v>
      </c>
      <c r="AF168" s="3" t="e">
        <f>VLOOKUP(Y168,'Assessment Details'!$O$45:$P$48,2,FALSE)</f>
        <v>#N/A</v>
      </c>
      <c r="AI168" s="70"/>
      <c r="AJ168" s="671"/>
      <c r="AK168" s="70"/>
      <c r="AL168" s="70"/>
      <c r="AM168" s="70"/>
      <c r="AN168" s="70"/>
      <c r="AO168" s="70"/>
      <c r="AP168" s="70"/>
      <c r="AS168" s="23"/>
      <c r="AT168" s="23"/>
      <c r="AU168" s="23"/>
      <c r="AV168" s="23"/>
      <c r="AW168" s="23"/>
      <c r="AX168" s="23"/>
      <c r="AZ168" s="640"/>
    </row>
    <row r="169" spans="1:52" x14ac:dyDescent="0.25">
      <c r="A169" s="1076">
        <v>160</v>
      </c>
      <c r="B169" s="1077" t="s">
        <v>70</v>
      </c>
      <c r="C169" s="1082" t="str">
        <f t="shared" si="19"/>
        <v>LE 02</v>
      </c>
      <c r="D169" s="824" t="s">
        <v>800</v>
      </c>
      <c r="E169" s="861" t="str">
        <f>VLOOKUP(D169,Poeng!$B$10:$R$252,Poeng!E$1,FALSE)</f>
        <v>Determin ecological possibilities</v>
      </c>
      <c r="F169" s="122">
        <f>VLOOKUP(D169,Poeng!$B$10:$AB$252,Poeng!AB$1,FALSE)</f>
        <v>1</v>
      </c>
      <c r="G169" s="43"/>
      <c r="H169" s="123">
        <f>VLOOKUP(D169,Poeng!$B$10:$AE$252,Poeng!AE$1,FALSE)</f>
        <v>0</v>
      </c>
      <c r="I169" s="124" t="str">
        <f>VLOOKUP(D169,Poeng!$B$10:$BE$252,Poeng!BE$1,FALSE)</f>
        <v>N/A</v>
      </c>
      <c r="J169" s="80"/>
      <c r="K169" s="281"/>
      <c r="L169" s="796"/>
      <c r="M169" s="816"/>
      <c r="N169" s="83"/>
      <c r="O169" s="123">
        <f>VLOOKUP(D169,Poeng!$B$10:$BC$252,Poeng!AF$1,FALSE)</f>
        <v>0</v>
      </c>
      <c r="P169" s="123" t="str">
        <f>VLOOKUP(D169,Poeng!$B$10:$BH$252,Poeng!BH$1,FALSE)</f>
        <v>N/A</v>
      </c>
      <c r="Q169" s="744"/>
      <c r="R169" s="745"/>
      <c r="S169" s="738"/>
      <c r="T169" s="319"/>
      <c r="U169" s="83"/>
      <c r="V169" s="123">
        <f>VLOOKUP(D169,Poeng!$B$10:$BC$252,Poeng!AG$1,FALSE)</f>
        <v>0</v>
      </c>
      <c r="W169" s="123" t="str">
        <f>VLOOKUP(D169,Poeng!$B$10:$BK$252,Poeng!BK$1,FALSE)</f>
        <v>N/A</v>
      </c>
      <c r="X169" s="81"/>
      <c r="Y169" s="80"/>
      <c r="Z169" s="738"/>
      <c r="AA169" s="133"/>
      <c r="AB169" s="640"/>
      <c r="AC169" s="107">
        <f t="shared" si="21"/>
        <v>1</v>
      </c>
      <c r="AD169" s="3" t="e">
        <f>VLOOKUP(K169,'Assessment Details'!$O$45:$P$48,2,FALSE)</f>
        <v>#N/A</v>
      </c>
      <c r="AE169" s="3" t="e">
        <f>VLOOKUP(R169,'Assessment Details'!$O$45:$P$48,2,FALSE)</f>
        <v>#N/A</v>
      </c>
      <c r="AF169" s="3" t="e">
        <f>VLOOKUP(Y169,'Assessment Details'!$O$45:$P$48,2,FALSE)</f>
        <v>#N/A</v>
      </c>
      <c r="AI169" s="70"/>
      <c r="AJ169" s="671"/>
      <c r="AK169" s="70"/>
      <c r="AL169" s="70"/>
      <c r="AM169" s="70"/>
      <c r="AN169" s="70"/>
      <c r="AO169" s="70"/>
      <c r="AP169" s="70"/>
      <c r="AS169" s="23"/>
      <c r="AT169" s="23"/>
      <c r="AU169" s="23"/>
      <c r="AV169" s="23"/>
      <c r="AW169" s="23"/>
      <c r="AX169" s="23"/>
      <c r="AZ169" s="640"/>
    </row>
    <row r="170" spans="1:52" x14ac:dyDescent="0.25">
      <c r="A170" s="1076">
        <v>161</v>
      </c>
      <c r="B170" s="1077" t="s">
        <v>70</v>
      </c>
      <c r="C170" s="924" t="s">
        <v>480</v>
      </c>
      <c r="D170" s="824" t="s">
        <v>480</v>
      </c>
      <c r="E170" s="860" t="str">
        <f>VLOOKUP(D170,Poeng!$B$10:$R$252,Poeng!E$1,FALSE)</f>
        <v>LE 03 Managing impacts on ecology</v>
      </c>
      <c r="F170" s="865">
        <f>VLOOKUP(D170,Poeng!$B$10:$AB$252,Poeng!AB$1,FALSE)</f>
        <v>3</v>
      </c>
      <c r="G170" s="1001"/>
      <c r="H170" s="866" t="str">
        <f>VLOOKUP(D170,Poeng!$B$10:$AI$252,Poeng!AI$1,FALSE)&amp;" c. "&amp;ROUND(VLOOKUP(D170,Poeng!$B$10:$AE$252,Poeng!AE$1,FALSE)*100,1)&amp;" %"</f>
        <v>0 c. 0 %</v>
      </c>
      <c r="I170" s="924" t="str">
        <f>VLOOKUP(D170,Poeng!$B$10:$BE$252,Poeng!BE$1,FALSE)</f>
        <v>N/A</v>
      </c>
      <c r="J170" s="80"/>
      <c r="K170" s="281"/>
      <c r="L170" s="796"/>
      <c r="M170" s="816"/>
      <c r="N170" s="1001"/>
      <c r="O170" s="877" t="str">
        <f>VLOOKUP(D170,Poeng!$B$10:$BC$252,Poeng!AJ$1,FALSE)&amp;" c. "&amp;ROUND(VLOOKUP(D170,Poeng!$B$10:$BC$252,Poeng!AF$1,FALSE)*100,1)&amp;" %"</f>
        <v>0 c. 0 %</v>
      </c>
      <c r="P170" s="123" t="str">
        <f>VLOOKUP(D170,Poeng!$B$10:$BH$252,Poeng!BH$1,FALSE)</f>
        <v>N/A</v>
      </c>
      <c r="Q170" s="744"/>
      <c r="R170" s="745"/>
      <c r="S170" s="738"/>
      <c r="T170" s="319"/>
      <c r="U170" s="1001"/>
      <c r="V170" s="877" t="str">
        <f>VLOOKUP(D170,Poeng!$B$10:$BC$252,Poeng!AK$1,FALSE)&amp;" c. "&amp;ROUND(VLOOKUP(D170,Poeng!$B$10:$BC$252,Poeng!AG$1,FALSE)*100,1)&amp;" %"</f>
        <v>0 c. 0 %</v>
      </c>
      <c r="W170" s="123" t="str">
        <f>VLOOKUP(D170,Poeng!$B$10:$BK$252,Poeng!BK$1,FALSE)</f>
        <v>N/A</v>
      </c>
      <c r="X170" s="81"/>
      <c r="Y170" s="80"/>
      <c r="Z170" s="738"/>
      <c r="AA170" s="133"/>
      <c r="AB170" s="640"/>
      <c r="AC170" s="107">
        <f t="shared" si="21"/>
        <v>1</v>
      </c>
      <c r="AD170" s="3" t="e">
        <f>VLOOKUP(K170,'Assessment Details'!$O$45:$P$48,2,FALSE)</f>
        <v>#N/A</v>
      </c>
      <c r="AE170" s="3" t="e">
        <f>VLOOKUP(R170,'Assessment Details'!$O$45:$P$48,2,FALSE)</f>
        <v>#N/A</v>
      </c>
      <c r="AF170" s="3" t="e">
        <f>VLOOKUP(Y170,'Assessment Details'!$O$45:$P$48,2,FALSE)</f>
        <v>#N/A</v>
      </c>
      <c r="AI170" s="70"/>
      <c r="AJ170" s="671"/>
      <c r="AK170" s="70"/>
      <c r="AL170" s="70"/>
      <c r="AM170" s="70"/>
      <c r="AN170" s="70"/>
      <c r="AO170" s="70"/>
      <c r="AP170" s="70"/>
      <c r="AS170" s="23"/>
      <c r="AT170" s="23"/>
      <c r="AU170" s="23"/>
      <c r="AV170" s="23"/>
      <c r="AW170" s="23"/>
      <c r="AX170" s="23"/>
      <c r="AZ170" s="640"/>
    </row>
    <row r="171" spans="1:52" x14ac:dyDescent="0.25">
      <c r="A171" s="1076">
        <v>162</v>
      </c>
      <c r="B171" s="1077" t="s">
        <v>70</v>
      </c>
      <c r="C171" s="1082" t="s">
        <v>480</v>
      </c>
      <c r="D171" s="824" t="s">
        <v>801</v>
      </c>
      <c r="E171" s="861" t="str">
        <f>VLOOKUP(D171,Poeng!$B$10:$R$252,Poeng!E$1,FALSE)</f>
        <v>Pre-requisite: ecological risks and opportunities</v>
      </c>
      <c r="F171" s="122" t="str">
        <f>VLOOKUP(D171,Poeng!$B$10:$AB$252,Poeng!AB$1,FALSE)</f>
        <v>Yes/No</v>
      </c>
      <c r="G171" s="1276"/>
      <c r="H171" s="866" t="str">
        <f>Poeng!AI243</f>
        <v>No</v>
      </c>
      <c r="I171" s="124" t="str">
        <f>VLOOKUP(D171,Poeng!$B$10:$BE$252,Poeng!BE$1,FALSE)</f>
        <v>N/A</v>
      </c>
      <c r="J171" s="80"/>
      <c r="K171" s="281"/>
      <c r="L171" s="796"/>
      <c r="M171" s="816"/>
      <c r="N171" s="1277"/>
      <c r="O171" s="877" t="str">
        <f>Poeng!AJ243</f>
        <v>No</v>
      </c>
      <c r="P171" s="123" t="str">
        <f>VLOOKUP(D171,Poeng!$B$10:$BH$252,Poeng!BH$1,FALSE)</f>
        <v>N/A</v>
      </c>
      <c r="Q171" s="744"/>
      <c r="R171" s="745"/>
      <c r="S171" s="738"/>
      <c r="T171" s="319"/>
      <c r="U171" s="1277"/>
      <c r="V171" s="877" t="str">
        <f>Poeng!AK243</f>
        <v>No</v>
      </c>
      <c r="W171" s="123" t="str">
        <f>VLOOKUP(D171,Poeng!$B$10:$BK$252,Poeng!BK$1,FALSE)</f>
        <v>N/A</v>
      </c>
      <c r="X171" s="81"/>
      <c r="Y171" s="80"/>
      <c r="Z171" s="738"/>
      <c r="AA171" s="133"/>
      <c r="AB171" s="640"/>
      <c r="AC171" s="107">
        <f t="shared" ref="AC171" si="28">IF(F171="",1,IF(F171=0,2,1))</f>
        <v>1</v>
      </c>
      <c r="AD171" s="3" t="e">
        <f>VLOOKUP(K171,'Assessment Details'!$O$45:$P$48,2,FALSE)</f>
        <v>#N/A</v>
      </c>
      <c r="AE171" s="3" t="e">
        <f>VLOOKUP(R171,'Assessment Details'!$O$45:$P$48,2,FALSE)</f>
        <v>#N/A</v>
      </c>
      <c r="AF171" s="3" t="e">
        <f>VLOOKUP(Y171,'Assessment Details'!$O$45:$P$48,2,FALSE)</f>
        <v>#N/A</v>
      </c>
      <c r="AI171" s="70"/>
      <c r="AJ171" s="671"/>
      <c r="AK171" s="70"/>
      <c r="AL171" s="70"/>
      <c r="AM171" s="70"/>
      <c r="AN171" s="70"/>
      <c r="AO171" s="70"/>
      <c r="AP171" s="70"/>
      <c r="AS171" s="23"/>
      <c r="AT171" s="23"/>
      <c r="AU171" s="23"/>
      <c r="AV171" s="23"/>
      <c r="AW171" s="23"/>
      <c r="AX171" s="23"/>
      <c r="AZ171" s="640"/>
    </row>
    <row r="172" spans="1:52" x14ac:dyDescent="0.25">
      <c r="A172" s="1076">
        <v>163</v>
      </c>
      <c r="B172" s="1077" t="s">
        <v>70</v>
      </c>
      <c r="C172" s="1082" t="s">
        <v>480</v>
      </c>
      <c r="D172" s="824" t="s">
        <v>802</v>
      </c>
      <c r="E172" s="861" t="str">
        <f>VLOOKUP(D172,Poeng!$B$10:$R$252,Poeng!E$1,FALSE)</f>
        <v>Planning and measures on site</v>
      </c>
      <c r="F172" s="122">
        <f>VLOOKUP(D172,Poeng!$B$10:$AB$252,Poeng!AB$1,FALSE)</f>
        <v>1</v>
      </c>
      <c r="G172" s="43"/>
      <c r="H172" s="123">
        <f>VLOOKUP(D172,Poeng!$B$10:$AE$252,Poeng!AE$1,FALSE)</f>
        <v>0</v>
      </c>
      <c r="I172" s="124" t="str">
        <f>VLOOKUP(D172,Poeng!$B$10:$BE$252,Poeng!BE$1,FALSE)</f>
        <v>N/A</v>
      </c>
      <c r="J172" s="80"/>
      <c r="K172" s="281"/>
      <c r="L172" s="796"/>
      <c r="M172" s="816"/>
      <c r="N172" s="83"/>
      <c r="O172" s="123">
        <f>VLOOKUP(D172,Poeng!$B$10:$BC$252,Poeng!AF$1,FALSE)</f>
        <v>0</v>
      </c>
      <c r="P172" s="123" t="str">
        <f>VLOOKUP(D172,Poeng!$B$10:$BH$252,Poeng!BH$1,FALSE)</f>
        <v>N/A</v>
      </c>
      <c r="Q172" s="744"/>
      <c r="R172" s="745"/>
      <c r="S172" s="1095"/>
      <c r="T172" s="319"/>
      <c r="U172" s="83"/>
      <c r="V172" s="123">
        <f>VLOOKUP(D172,Poeng!$B$10:$BC$252,Poeng!AG$1,FALSE)</f>
        <v>0</v>
      </c>
      <c r="W172" s="123" t="str">
        <f>VLOOKUP(D172,Poeng!$B$10:$BK$252,Poeng!BK$1,FALSE)</f>
        <v>N/A</v>
      </c>
      <c r="X172" s="81"/>
      <c r="Y172" s="80"/>
      <c r="Z172" s="1095"/>
      <c r="AA172" s="133"/>
      <c r="AB172" s="640"/>
      <c r="AC172" s="107">
        <f t="shared" si="21"/>
        <v>1</v>
      </c>
      <c r="AD172" s="3" t="e">
        <f>VLOOKUP(K172,'Assessment Details'!$O$45:$P$48,2,FALSE)</f>
        <v>#N/A</v>
      </c>
      <c r="AE172" s="3" t="e">
        <f>VLOOKUP(R172,'Assessment Details'!$O$45:$P$48,2,FALSE)</f>
        <v>#N/A</v>
      </c>
      <c r="AF172" s="3" t="e">
        <f>VLOOKUP(Y172,'Assessment Details'!$O$45:$P$48,2,FALSE)</f>
        <v>#N/A</v>
      </c>
      <c r="AI172" s="70"/>
      <c r="AJ172" s="671"/>
      <c r="AK172" s="70"/>
      <c r="AL172" s="70"/>
      <c r="AM172" s="70"/>
      <c r="AN172" s="70"/>
      <c r="AO172" s="70"/>
      <c r="AP172" s="70"/>
      <c r="AS172" s="23"/>
      <c r="AT172" s="23"/>
      <c r="AU172" s="23"/>
      <c r="AV172" s="23"/>
      <c r="AW172" s="23"/>
      <c r="AX172" s="23"/>
      <c r="AZ172" s="640"/>
    </row>
    <row r="173" spans="1:52" x14ac:dyDescent="0.25">
      <c r="A173" s="1076">
        <v>164</v>
      </c>
      <c r="B173" s="1077" t="s">
        <v>70</v>
      </c>
      <c r="C173" s="1082" t="s">
        <v>480</v>
      </c>
      <c r="D173" s="824" t="s">
        <v>803</v>
      </c>
      <c r="E173" s="861" t="str">
        <f>VLOOKUP(D173,Poeng!$B$10:$R$252,Poeng!E$1,FALSE)</f>
        <v>Managing negative impacts</v>
      </c>
      <c r="F173" s="122">
        <f>VLOOKUP(D173,Poeng!$B$10:$AB$252,Poeng!AB$1,FALSE)</f>
        <v>2</v>
      </c>
      <c r="G173" s="43"/>
      <c r="H173" s="123">
        <f>VLOOKUP(D173,Poeng!$B$10:$AE$252,Poeng!AE$1,FALSE)</f>
        <v>0</v>
      </c>
      <c r="I173" s="124" t="str">
        <f>VLOOKUP(D173,Poeng!$B$10:$BE$252,Poeng!BE$1,FALSE)</f>
        <v>N/A</v>
      </c>
      <c r="J173" s="80"/>
      <c r="K173" s="281"/>
      <c r="L173" s="796"/>
      <c r="M173" s="816"/>
      <c r="N173" s="83"/>
      <c r="O173" s="123">
        <f>VLOOKUP(D173,Poeng!$B$10:$BC$252,Poeng!AF$1,FALSE)</f>
        <v>0</v>
      </c>
      <c r="P173" s="123" t="str">
        <f>VLOOKUP(D173,Poeng!$B$10:$BH$252,Poeng!BH$1,FALSE)</f>
        <v>N/A</v>
      </c>
      <c r="Q173" s="744"/>
      <c r="R173" s="745"/>
      <c r="S173" s="1095"/>
      <c r="T173" s="319"/>
      <c r="U173" s="83"/>
      <c r="V173" s="123">
        <f>VLOOKUP(D173,Poeng!$B$10:$BC$252,Poeng!AG$1,FALSE)</f>
        <v>0</v>
      </c>
      <c r="W173" s="123" t="str">
        <f>VLOOKUP(D173,Poeng!$B$10:$BK$252,Poeng!BK$1,FALSE)</f>
        <v>N/A</v>
      </c>
      <c r="X173" s="81"/>
      <c r="Y173" s="80"/>
      <c r="Z173" s="1095"/>
      <c r="AA173" s="133"/>
      <c r="AB173" s="640"/>
      <c r="AC173" s="107">
        <f t="shared" si="21"/>
        <v>1</v>
      </c>
      <c r="AD173" s="3" t="e">
        <f>VLOOKUP(K173,'Assessment Details'!$O$45:$P$48,2,FALSE)</f>
        <v>#N/A</v>
      </c>
      <c r="AE173" s="3" t="e">
        <f>VLOOKUP(R173,'Assessment Details'!$O$45:$P$48,2,FALSE)</f>
        <v>#N/A</v>
      </c>
      <c r="AF173" s="3" t="e">
        <f>VLOOKUP(Y173,'Assessment Details'!$O$45:$P$48,2,FALSE)</f>
        <v>#N/A</v>
      </c>
      <c r="AI173" s="70"/>
      <c r="AJ173" s="671"/>
      <c r="AK173" s="70"/>
      <c r="AL173" s="70"/>
      <c r="AM173" s="70"/>
      <c r="AN173" s="70"/>
      <c r="AO173" s="70"/>
      <c r="AP173" s="70"/>
      <c r="AS173" s="23"/>
      <c r="AT173" s="23"/>
      <c r="AU173" s="23"/>
      <c r="AV173" s="23"/>
      <c r="AW173" s="23"/>
      <c r="AX173" s="23"/>
      <c r="AZ173" s="640"/>
    </row>
    <row r="174" spans="1:52" x14ac:dyDescent="0.25">
      <c r="A174" s="1076">
        <v>165</v>
      </c>
      <c r="B174" s="1077" t="s">
        <v>70</v>
      </c>
      <c r="C174" s="924" t="s">
        <v>182</v>
      </c>
      <c r="D174" s="824" t="s">
        <v>182</v>
      </c>
      <c r="E174" s="860" t="str">
        <f>VLOOKUP(D174,Poeng!$B$10:$R$252,Poeng!E$1,FALSE)</f>
        <v>LE 04 Ecological change and enhancement</v>
      </c>
      <c r="F174" s="865">
        <f>VLOOKUP(D174,Poeng!$B$10:$AB$252,Poeng!AB$1,FALSE)</f>
        <v>4</v>
      </c>
      <c r="G174" s="1001"/>
      <c r="H174" s="866" t="str">
        <f>VLOOKUP(D174,Poeng!$B$10:$AI$252,Poeng!AI$1,FALSE)&amp;" c. "&amp;ROUND(VLOOKUP(D174,Poeng!$B$10:$AE$252,Poeng!AE$1,FALSE)*100,1)&amp;" %"</f>
        <v>0 c. 0 %</v>
      </c>
      <c r="I174" s="924" t="str">
        <f>VLOOKUP(D174,Poeng!$B$10:$BE$252,Poeng!BE$1,FALSE)</f>
        <v>N/A</v>
      </c>
      <c r="J174" s="80"/>
      <c r="K174" s="281"/>
      <c r="L174" s="796"/>
      <c r="M174" s="816"/>
      <c r="N174" s="1001"/>
      <c r="O174" s="877" t="str">
        <f>VLOOKUP(D174,Poeng!$B$10:$BC$252,Poeng!AJ$1,FALSE)&amp;" c. "&amp;ROUND(VLOOKUP(D174,Poeng!$B$10:$BC$252,Poeng!AF$1,FALSE)*100,1)&amp;" %"</f>
        <v>0 c. 0 %</v>
      </c>
      <c r="P174" s="123" t="str">
        <f>VLOOKUP(D174,Poeng!$B$10:$BH$252,Poeng!BH$1,FALSE)</f>
        <v>N/A</v>
      </c>
      <c r="Q174" s="744"/>
      <c r="R174" s="745"/>
      <c r="S174" s="1095"/>
      <c r="T174" s="319"/>
      <c r="U174" s="1001"/>
      <c r="V174" s="877" t="str">
        <f>VLOOKUP(D174,Poeng!$B$10:$BC$252,Poeng!AK$1,FALSE)&amp;" c. "&amp;ROUND(VLOOKUP(D174,Poeng!$B$10:$BC$252,Poeng!AG$1,FALSE)*100,1)&amp;" %"</f>
        <v>0 c. 0 %</v>
      </c>
      <c r="W174" s="123" t="str">
        <f>VLOOKUP(D174,Poeng!$B$10:$BK$252,Poeng!BK$1,FALSE)</f>
        <v>N/A</v>
      </c>
      <c r="X174" s="81"/>
      <c r="Y174" s="80"/>
      <c r="Z174" s="1095"/>
      <c r="AA174" s="133"/>
      <c r="AB174" s="640" t="s">
        <v>14</v>
      </c>
      <c r="AC174" s="107">
        <f t="shared" si="21"/>
        <v>1</v>
      </c>
      <c r="AD174" s="3" t="e">
        <f>VLOOKUP(K174,'Assessment Details'!$O$45:$P$48,2,FALSE)</f>
        <v>#N/A</v>
      </c>
      <c r="AE174" s="3" t="e">
        <f>VLOOKUP(R174,'Assessment Details'!$O$45:$P$48,2,FALSE)</f>
        <v>#N/A</v>
      </c>
      <c r="AF174" s="3" t="e">
        <f>VLOOKUP(Y174,'Assessment Details'!$O$45:$P$48,2,FALSE)</f>
        <v>#N/A</v>
      </c>
      <c r="AI174" s="70"/>
      <c r="AJ174" s="671" t="s">
        <v>162</v>
      </c>
      <c r="AK174" s="70"/>
      <c r="AL174" s="70"/>
      <c r="AM174" s="70"/>
      <c r="AN174" s="70"/>
      <c r="AO174" s="70"/>
      <c r="AP174" s="70"/>
      <c r="AS174" s="23" t="str">
        <f t="shared" si="24"/>
        <v>N/A</v>
      </c>
      <c r="AT174" s="23" t="str">
        <f t="shared" si="25"/>
        <v>N/A</v>
      </c>
      <c r="AU174" s="23" t="str">
        <f t="shared" si="26"/>
        <v>N/A</v>
      </c>
      <c r="AV174" s="23"/>
      <c r="AW174" s="23"/>
      <c r="AX174" s="23"/>
      <c r="AZ174" s="640"/>
    </row>
    <row r="175" spans="1:52" x14ac:dyDescent="0.25">
      <c r="A175" s="1076">
        <v>166</v>
      </c>
      <c r="B175" s="1077" t="s">
        <v>70</v>
      </c>
      <c r="C175" s="1082" t="str">
        <f t="shared" si="19"/>
        <v>LE 04</v>
      </c>
      <c r="D175" s="824" t="s">
        <v>804</v>
      </c>
      <c r="E175" s="861" t="str">
        <f>VLOOKUP(D175,Poeng!$B$10:$R$252,Poeng!E$1,FALSE)</f>
        <v>Pre-requisite: managing negative impacts on ecology</v>
      </c>
      <c r="F175" s="122" t="str">
        <f>VLOOKUP(D175,Poeng!$B$10:$AB$252,Poeng!AB$1,FALSE)</f>
        <v>Yes/No</v>
      </c>
      <c r="G175" s="43"/>
      <c r="H175" s="123" t="str">
        <f>VLOOKUP(D175,Poeng!$B$10:$AE$252,Poeng!AE$1,FALSE)</f>
        <v>-</v>
      </c>
      <c r="I175" s="124" t="str">
        <f>VLOOKUP(D175,Poeng!$B$10:$BE$252,Poeng!BE$1,FALSE)</f>
        <v>N/A</v>
      </c>
      <c r="J175" s="80"/>
      <c r="K175" s="281"/>
      <c r="L175" s="796"/>
      <c r="M175" s="816"/>
      <c r="N175" s="83"/>
      <c r="O175" s="123" t="str">
        <f>VLOOKUP(D175,Poeng!$B$10:$BC$252,Poeng!AF$1,FALSE)</f>
        <v>-</v>
      </c>
      <c r="P175" s="123" t="str">
        <f>VLOOKUP(D175,Poeng!$B$10:$BH$252,Poeng!BH$1,FALSE)</f>
        <v>N/A</v>
      </c>
      <c r="Q175" s="744"/>
      <c r="R175" s="745"/>
      <c r="S175" s="738"/>
      <c r="T175" s="319"/>
      <c r="U175" s="83"/>
      <c r="V175" s="123" t="str">
        <f>VLOOKUP(D175,Poeng!$B$10:$BC$252,Poeng!AG$1,FALSE)</f>
        <v>-</v>
      </c>
      <c r="W175" s="123" t="str">
        <f>VLOOKUP(D175,Poeng!$B$10:$BK$252,Poeng!BK$1,FALSE)</f>
        <v>N/A</v>
      </c>
      <c r="X175" s="81"/>
      <c r="Y175" s="80"/>
      <c r="Z175" s="738"/>
      <c r="AA175" s="133"/>
      <c r="AB175" s="640"/>
      <c r="AC175" s="107">
        <f t="shared" si="21"/>
        <v>1</v>
      </c>
      <c r="AD175" s="3" t="e">
        <f>VLOOKUP(K175,'Assessment Details'!$O$45:$P$48,2,FALSE)</f>
        <v>#N/A</v>
      </c>
      <c r="AE175" s="3" t="e">
        <f>VLOOKUP(R175,'Assessment Details'!$O$45:$P$48,2,FALSE)</f>
        <v>#N/A</v>
      </c>
      <c r="AF175" s="3" t="e">
        <f>VLOOKUP(Y175,'Assessment Details'!$O$45:$P$48,2,FALSE)</f>
        <v>#N/A</v>
      </c>
      <c r="AI175" s="70"/>
      <c r="AJ175" s="671"/>
      <c r="AK175" s="70"/>
      <c r="AL175" s="70"/>
      <c r="AM175" s="70"/>
      <c r="AN175" s="70"/>
      <c r="AO175" s="70"/>
      <c r="AP175" s="70"/>
      <c r="AS175" s="23"/>
      <c r="AT175" s="23"/>
      <c r="AU175" s="23"/>
      <c r="AV175" s="23"/>
      <c r="AW175" s="23"/>
      <c r="AX175" s="23"/>
      <c r="AZ175" s="640"/>
    </row>
    <row r="176" spans="1:52" x14ac:dyDescent="0.25">
      <c r="A176" s="1076">
        <v>167</v>
      </c>
      <c r="B176" s="1077" t="s">
        <v>70</v>
      </c>
      <c r="C176" s="1082" t="str">
        <f t="shared" si="19"/>
        <v>LE 04</v>
      </c>
      <c r="D176" s="824" t="s">
        <v>805</v>
      </c>
      <c r="E176" s="861" t="str">
        <f>VLOOKUP(D176,Poeng!$B$10:$R$252,Poeng!E$1,FALSE)</f>
        <v>Ecological enhancement</v>
      </c>
      <c r="F176" s="122">
        <f>VLOOKUP(D176,Poeng!$B$10:$AB$252,Poeng!AB$1,FALSE)</f>
        <v>1</v>
      </c>
      <c r="G176" s="43"/>
      <c r="H176" s="123">
        <f>VLOOKUP(D176,Poeng!$B$10:$AE$252,Poeng!AE$1,FALSE)</f>
        <v>0</v>
      </c>
      <c r="I176" s="124" t="str">
        <f>VLOOKUP(D176,Poeng!$B$10:$BE$252,Poeng!BE$1,FALSE)</f>
        <v>Excellent</v>
      </c>
      <c r="J176" s="80"/>
      <c r="K176" s="281"/>
      <c r="L176" s="796"/>
      <c r="M176" s="816"/>
      <c r="N176" s="83"/>
      <c r="O176" s="123">
        <f>VLOOKUP(D176,Poeng!$B$10:$BC$252,Poeng!AF$1,FALSE)</f>
        <v>0</v>
      </c>
      <c r="P176" s="123" t="str">
        <f>VLOOKUP(D176,Poeng!$B$10:$BH$252,Poeng!BH$1,FALSE)</f>
        <v>Excellent</v>
      </c>
      <c r="Q176" s="744"/>
      <c r="R176" s="745"/>
      <c r="S176" s="738"/>
      <c r="T176" s="319"/>
      <c r="U176" s="83"/>
      <c r="V176" s="123">
        <f>VLOOKUP(D176,Poeng!$B$10:$BC$252,Poeng!AG$1,FALSE)</f>
        <v>0</v>
      </c>
      <c r="W176" s="123" t="str">
        <f>VLOOKUP(D176,Poeng!$B$10:$BK$252,Poeng!BK$1,FALSE)</f>
        <v>Excellent</v>
      </c>
      <c r="X176" s="81"/>
      <c r="Y176" s="80"/>
      <c r="Z176" s="738"/>
      <c r="AA176" s="133"/>
      <c r="AB176" s="640"/>
      <c r="AC176" s="107">
        <f t="shared" si="21"/>
        <v>1</v>
      </c>
      <c r="AD176" s="3" t="e">
        <f>VLOOKUP(K176,'Assessment Details'!$O$45:$P$48,2,FALSE)</f>
        <v>#N/A</v>
      </c>
      <c r="AE176" s="3" t="e">
        <f>VLOOKUP(R176,'Assessment Details'!$O$45:$P$48,2,FALSE)</f>
        <v>#N/A</v>
      </c>
      <c r="AF176" s="3" t="e">
        <f>VLOOKUP(Y176,'Assessment Details'!$O$45:$P$48,2,FALSE)</f>
        <v>#N/A</v>
      </c>
      <c r="AI176" s="70"/>
      <c r="AJ176" s="671"/>
      <c r="AK176" s="70"/>
      <c r="AL176" s="70"/>
      <c r="AM176" s="70"/>
      <c r="AN176" s="70"/>
      <c r="AO176" s="70"/>
      <c r="AP176" s="70"/>
      <c r="AS176" s="23"/>
      <c r="AT176" s="23"/>
      <c r="AU176" s="23"/>
      <c r="AV176" s="23"/>
      <c r="AW176" s="23"/>
      <c r="AX176" s="23"/>
      <c r="AZ176" s="640"/>
    </row>
    <row r="177" spans="1:52" x14ac:dyDescent="0.25">
      <c r="A177" s="1076">
        <v>168</v>
      </c>
      <c r="B177" s="1077" t="s">
        <v>70</v>
      </c>
      <c r="C177" s="1082" t="str">
        <f t="shared" si="19"/>
        <v>LE 04</v>
      </c>
      <c r="D177" s="824" t="s">
        <v>806</v>
      </c>
      <c r="E177" s="861" t="str">
        <f>VLOOKUP(D177,Poeng!$B$10:$R$252,Poeng!E$1,FALSE)</f>
        <v>Calculation of change in biodiversity</v>
      </c>
      <c r="F177" s="122">
        <f>VLOOKUP(D177,Poeng!$B$10:$AB$252,Poeng!AB$1,FALSE)</f>
        <v>3</v>
      </c>
      <c r="G177" s="43"/>
      <c r="H177" s="123">
        <f>VLOOKUP(D177,Poeng!$B$10:$AE$252,Poeng!AE$1,FALSE)</f>
        <v>0</v>
      </c>
      <c r="I177" s="124" t="str">
        <f>VLOOKUP(D177,Poeng!$B$10:$BE$252,Poeng!BE$1,FALSE)</f>
        <v>N/A</v>
      </c>
      <c r="J177" s="80"/>
      <c r="K177" s="281"/>
      <c r="L177" s="796"/>
      <c r="M177" s="816"/>
      <c r="N177" s="83"/>
      <c r="O177" s="123">
        <f>VLOOKUP(D177,Poeng!$B$10:$BC$252,Poeng!AF$1,FALSE)</f>
        <v>0</v>
      </c>
      <c r="P177" s="123" t="str">
        <f>VLOOKUP(D177,Poeng!$B$10:$BH$252,Poeng!BH$1,FALSE)</f>
        <v>N/A</v>
      </c>
      <c r="Q177" s="744"/>
      <c r="R177" s="745"/>
      <c r="S177" s="738"/>
      <c r="T177" s="319"/>
      <c r="U177" s="83"/>
      <c r="V177" s="123">
        <f>VLOOKUP(D177,Poeng!$B$10:$BC$252,Poeng!AG$1,FALSE)</f>
        <v>0</v>
      </c>
      <c r="W177" s="123" t="str">
        <f>VLOOKUP(D177,Poeng!$B$10:$BK$252,Poeng!BK$1,FALSE)</f>
        <v>N/A</v>
      </c>
      <c r="X177" s="81"/>
      <c r="Y177" s="80"/>
      <c r="Z177" s="738"/>
      <c r="AA177" s="133"/>
      <c r="AB177" s="640"/>
      <c r="AC177" s="107">
        <f t="shared" si="21"/>
        <v>1</v>
      </c>
      <c r="AD177" s="3" t="e">
        <f>VLOOKUP(K177,'Assessment Details'!$O$45:$P$48,2,FALSE)</f>
        <v>#N/A</v>
      </c>
      <c r="AE177" s="3" t="e">
        <f>VLOOKUP(R177,'Assessment Details'!$O$45:$P$48,2,FALSE)</f>
        <v>#N/A</v>
      </c>
      <c r="AF177" s="3" t="e">
        <f>VLOOKUP(Y177,'Assessment Details'!$O$45:$P$48,2,FALSE)</f>
        <v>#N/A</v>
      </c>
      <c r="AI177" s="70"/>
      <c r="AJ177" s="671"/>
      <c r="AK177" s="70"/>
      <c r="AL177" s="70"/>
      <c r="AM177" s="70"/>
      <c r="AN177" s="70"/>
      <c r="AO177" s="70"/>
      <c r="AP177" s="70"/>
      <c r="AS177" s="23"/>
      <c r="AT177" s="23"/>
      <c r="AU177" s="23"/>
      <c r="AV177" s="23"/>
      <c r="AW177" s="23"/>
      <c r="AX177" s="23"/>
      <c r="AZ177" s="640"/>
    </row>
    <row r="178" spans="1:52" x14ac:dyDescent="0.25">
      <c r="A178" s="1076">
        <v>169</v>
      </c>
      <c r="B178" s="1077" t="s">
        <v>70</v>
      </c>
      <c r="C178" s="924" t="s">
        <v>183</v>
      </c>
      <c r="D178" s="824" t="s">
        <v>183</v>
      </c>
      <c r="E178" s="860" t="str">
        <f>VLOOKUP(D178,Poeng!$B$10:$R$252,Poeng!E$1,FALSE)</f>
        <v>LE 05 Long term ecology management and maintenance</v>
      </c>
      <c r="F178" s="865">
        <f>VLOOKUP(D178,Poeng!$B$10:$AB$252,Poeng!AB$1,FALSE)</f>
        <v>2</v>
      </c>
      <c r="G178" s="1001"/>
      <c r="H178" s="866" t="str">
        <f>VLOOKUP(D178,Poeng!$B$10:$AI$252,Poeng!AI$1,FALSE)&amp;" c. "&amp;ROUND(VLOOKUP(D178,Poeng!$B$10:$AE$252,Poeng!AE$1,FALSE)*100,1)&amp;" %"</f>
        <v>0 c. 0 %</v>
      </c>
      <c r="I178" s="924" t="str">
        <f>VLOOKUP(D178,Poeng!$B$10:$BE$252,Poeng!BE$1,FALSE)</f>
        <v>N/A</v>
      </c>
      <c r="J178" s="80"/>
      <c r="K178" s="281"/>
      <c r="L178" s="796"/>
      <c r="M178" s="816"/>
      <c r="N178" s="1001"/>
      <c r="O178" s="877" t="str">
        <f>VLOOKUP(D178,Poeng!$B$10:$BC$252,Poeng!AJ$1,FALSE)&amp;" c. "&amp;ROUND(VLOOKUP(D178,Poeng!$B$10:$BC$252,Poeng!AF$1,FALSE)*100,1)&amp;" %"</f>
        <v>0 c. 0 %</v>
      </c>
      <c r="P178" s="123" t="str">
        <f>VLOOKUP(D178,Poeng!$B$10:$BH$252,Poeng!BH$1,FALSE)</f>
        <v>N/A</v>
      </c>
      <c r="Q178" s="744"/>
      <c r="R178" s="745"/>
      <c r="S178" s="738"/>
      <c r="T178" s="319"/>
      <c r="U178" s="1001"/>
      <c r="V178" s="877" t="str">
        <f>VLOOKUP(D178,Poeng!$B$10:$BC$252,Poeng!AK$1,FALSE)&amp;" c. "&amp;ROUND(VLOOKUP(D178,Poeng!$B$10:$BC$252,Poeng!AG$1,FALSE)*100,1)&amp;" %"</f>
        <v>0 c. 0 %</v>
      </c>
      <c r="W178" s="123" t="str">
        <f>VLOOKUP(D178,Poeng!$B$10:$BK$252,Poeng!BK$1,FALSE)</f>
        <v>N/A</v>
      </c>
      <c r="X178" s="81"/>
      <c r="Y178" s="80"/>
      <c r="Z178" s="738"/>
      <c r="AA178" s="133"/>
      <c r="AB178" s="640" t="s">
        <v>14</v>
      </c>
      <c r="AC178" s="107">
        <f t="shared" si="21"/>
        <v>1</v>
      </c>
      <c r="AD178" s="3" t="e">
        <f>VLOOKUP(K178,'Assessment Details'!$O$45:$P$48,2,FALSE)</f>
        <v>#N/A</v>
      </c>
      <c r="AE178" s="3" t="e">
        <f>VLOOKUP(R178,'Assessment Details'!$O$45:$P$48,2,FALSE)</f>
        <v>#N/A</v>
      </c>
      <c r="AF178" s="3" t="e">
        <f>VLOOKUP(Y178,'Assessment Details'!$O$45:$P$48,2,FALSE)</f>
        <v>#N/A</v>
      </c>
      <c r="AI178" s="70"/>
      <c r="AJ178" s="671" t="s">
        <v>163</v>
      </c>
      <c r="AK178" s="70"/>
      <c r="AL178" s="70"/>
      <c r="AM178" s="70"/>
      <c r="AN178" s="70"/>
      <c r="AO178" s="70"/>
      <c r="AP178" s="70"/>
      <c r="AS178" s="23" t="str">
        <f t="shared" si="24"/>
        <v>N/A</v>
      </c>
      <c r="AT178" s="23" t="str">
        <f t="shared" si="25"/>
        <v>N/A</v>
      </c>
      <c r="AU178" s="23" t="str">
        <f t="shared" si="26"/>
        <v>N/A</v>
      </c>
      <c r="AV178" s="23"/>
      <c r="AW178" s="23"/>
      <c r="AX178" s="23"/>
      <c r="AZ178" s="640"/>
    </row>
    <row r="179" spans="1:52" x14ac:dyDescent="0.25">
      <c r="A179" s="1076">
        <v>170</v>
      </c>
      <c r="B179" s="1077" t="s">
        <v>70</v>
      </c>
      <c r="C179" s="1087" t="str">
        <f t="shared" si="19"/>
        <v>LE 05</v>
      </c>
      <c r="D179" s="824" t="s">
        <v>807</v>
      </c>
      <c r="E179" s="1071" t="str">
        <f>VLOOKUP(D179,Poeng!$B$10:$R$252,Poeng!E$1,FALSE)</f>
        <v>Pre-requisite: statutory obligations, planning and site implementation</v>
      </c>
      <c r="F179" s="122" t="str">
        <f>VLOOKUP(D179,Poeng!$B$10:$AB$252,Poeng!AB$1,FALSE)</f>
        <v>Yes/No</v>
      </c>
      <c r="G179" s="43"/>
      <c r="H179" s="123" t="str">
        <f>VLOOKUP(D179,Poeng!$B$10:$AE$252,Poeng!AE$1,FALSE)</f>
        <v>-</v>
      </c>
      <c r="I179" s="124" t="str">
        <f>VLOOKUP(D179,Poeng!$B$10:$BE$252,Poeng!BE$1,FALSE)</f>
        <v>N/A</v>
      </c>
      <c r="J179" s="80"/>
      <c r="K179" s="281"/>
      <c r="L179" s="796"/>
      <c r="M179" s="816"/>
      <c r="N179" s="83"/>
      <c r="O179" s="123" t="str">
        <f>VLOOKUP(D179,Poeng!$B$10:$BC$252,Poeng!AF$1,FALSE)</f>
        <v>-</v>
      </c>
      <c r="P179" s="123" t="str">
        <f>VLOOKUP(D179,Poeng!$B$10:$BH$252,Poeng!BH$1,FALSE)</f>
        <v>N/A</v>
      </c>
      <c r="Q179" s="744"/>
      <c r="R179" s="745"/>
      <c r="S179" s="738"/>
      <c r="T179" s="319"/>
      <c r="U179" s="83"/>
      <c r="V179" s="123" t="str">
        <f>VLOOKUP(D179,Poeng!$B$10:$BC$252,Poeng!AG$1,FALSE)</f>
        <v>-</v>
      </c>
      <c r="W179" s="123" t="str">
        <f>VLOOKUP(D179,Poeng!$B$10:$BK$252,Poeng!BK$1,FALSE)</f>
        <v>N/A</v>
      </c>
      <c r="X179" s="81"/>
      <c r="Y179" s="80"/>
      <c r="Z179" s="738"/>
      <c r="AA179" s="133"/>
      <c r="AB179" s="640"/>
      <c r="AC179" s="107">
        <f t="shared" si="21"/>
        <v>1</v>
      </c>
      <c r="AD179" s="3" t="e">
        <f>VLOOKUP(K179,'Assessment Details'!$O$45:$P$48,2,FALSE)</f>
        <v>#N/A</v>
      </c>
      <c r="AE179" s="3" t="e">
        <f>VLOOKUP(R179,'Assessment Details'!$O$45:$P$48,2,FALSE)</f>
        <v>#N/A</v>
      </c>
      <c r="AF179" s="3" t="e">
        <f>VLOOKUP(Y179,'Assessment Details'!$O$45:$P$48,2,FALSE)</f>
        <v>#N/A</v>
      </c>
      <c r="AI179" s="70"/>
      <c r="AJ179" s="671"/>
      <c r="AK179" s="70"/>
      <c r="AL179" s="70"/>
      <c r="AM179" s="70"/>
      <c r="AN179" s="70"/>
      <c r="AO179" s="70"/>
      <c r="AP179" s="70"/>
      <c r="AS179" s="23"/>
      <c r="AT179" s="23"/>
      <c r="AU179" s="23"/>
      <c r="AV179" s="23"/>
      <c r="AW179" s="23"/>
      <c r="AX179" s="23"/>
      <c r="AZ179" s="640"/>
    </row>
    <row r="180" spans="1:52" x14ac:dyDescent="0.25">
      <c r="A180" s="1076">
        <v>171</v>
      </c>
      <c r="B180" s="1077" t="s">
        <v>70</v>
      </c>
      <c r="C180" s="1082" t="str">
        <f t="shared" si="19"/>
        <v>LE 05</v>
      </c>
      <c r="D180" s="824" t="s">
        <v>808</v>
      </c>
      <c r="E180" s="861" t="str">
        <f>VLOOKUP(D180,Poeng!$B$10:$R$252,Poeng!E$1,FALSE)</f>
        <v>Management and maintenance throughout the project</v>
      </c>
      <c r="F180" s="122">
        <f>VLOOKUP(D180,Poeng!$B$10:$AB$252,Poeng!AB$1,FALSE)</f>
        <v>1</v>
      </c>
      <c r="G180" s="43"/>
      <c r="H180" s="123">
        <f>VLOOKUP(D180,Poeng!$B$10:$AE$252,Poeng!AE$1,FALSE)</f>
        <v>0</v>
      </c>
      <c r="I180" s="124" t="str">
        <f>VLOOKUP(D180,Poeng!$B$10:$BE$252,Poeng!BE$1,FALSE)</f>
        <v>N/A</v>
      </c>
      <c r="J180" s="80"/>
      <c r="K180" s="281"/>
      <c r="L180" s="796"/>
      <c r="M180" s="816"/>
      <c r="N180" s="83"/>
      <c r="O180" s="123">
        <f>VLOOKUP(D180,Poeng!$B$10:$BC$252,Poeng!AF$1,FALSE)</f>
        <v>0</v>
      </c>
      <c r="P180" s="123" t="str">
        <f>VLOOKUP(D180,Poeng!$B$10:$BH$252,Poeng!BH$1,FALSE)</f>
        <v>N/A</v>
      </c>
      <c r="Q180" s="744"/>
      <c r="R180" s="745"/>
      <c r="S180" s="738"/>
      <c r="T180" s="319"/>
      <c r="U180" s="83"/>
      <c r="V180" s="123">
        <f>VLOOKUP(D180,Poeng!$B$10:$BC$252,Poeng!AG$1,FALSE)</f>
        <v>0</v>
      </c>
      <c r="W180" s="123" t="str">
        <f>VLOOKUP(D180,Poeng!$B$10:$BK$252,Poeng!BK$1,FALSE)</f>
        <v>N/A</v>
      </c>
      <c r="X180" s="81"/>
      <c r="Y180" s="80"/>
      <c r="Z180" s="738"/>
      <c r="AA180" s="133"/>
      <c r="AB180" s="640"/>
      <c r="AC180" s="107">
        <f t="shared" si="21"/>
        <v>1</v>
      </c>
      <c r="AD180" s="3" t="e">
        <f>VLOOKUP(K180,'Assessment Details'!$O$45:$P$48,2,FALSE)</f>
        <v>#N/A</v>
      </c>
      <c r="AE180" s="3" t="e">
        <f>VLOOKUP(R180,'Assessment Details'!$O$45:$P$48,2,FALSE)</f>
        <v>#N/A</v>
      </c>
      <c r="AF180" s="3" t="e">
        <f>VLOOKUP(Y180,'Assessment Details'!$O$45:$P$48,2,FALSE)</f>
        <v>#N/A</v>
      </c>
      <c r="AI180" s="70"/>
      <c r="AJ180" s="671"/>
      <c r="AK180" s="70"/>
      <c r="AL180" s="70"/>
      <c r="AM180" s="70"/>
      <c r="AN180" s="70"/>
      <c r="AO180" s="70"/>
      <c r="AP180" s="70"/>
      <c r="AS180" s="23"/>
      <c r="AT180" s="23"/>
      <c r="AU180" s="23"/>
      <c r="AV180" s="23"/>
      <c r="AW180" s="23"/>
      <c r="AX180" s="23"/>
      <c r="AZ180" s="640"/>
    </row>
    <row r="181" spans="1:52" x14ac:dyDescent="0.25">
      <c r="A181" s="1076">
        <v>172</v>
      </c>
      <c r="B181" s="1077" t="s">
        <v>70</v>
      </c>
      <c r="C181" s="1082" t="str">
        <f t="shared" si="19"/>
        <v>LE 05</v>
      </c>
      <c r="D181" s="824" t="s">
        <v>809</v>
      </c>
      <c r="E181" s="861" t="str">
        <f>VLOOKUP(D181,Poeng!$B$10:$R$252,Poeng!E$1,FALSE)</f>
        <v>Landscape and ecology management plan</v>
      </c>
      <c r="F181" s="122">
        <f>VLOOKUP(D181,Poeng!$B$10:$AB$252,Poeng!AB$1,FALSE)</f>
        <v>1</v>
      </c>
      <c r="G181" s="43"/>
      <c r="H181" s="123">
        <f>VLOOKUP(D181,Poeng!$B$10:$AE$252,Poeng!AE$1,FALSE)</f>
        <v>0</v>
      </c>
      <c r="I181" s="124" t="str">
        <f>VLOOKUP(D181,Poeng!$B$10:$BE$252,Poeng!BE$1,FALSE)</f>
        <v>N/A</v>
      </c>
      <c r="J181" s="80"/>
      <c r="K181" s="281"/>
      <c r="L181" s="796"/>
      <c r="M181" s="816"/>
      <c r="N181" s="83"/>
      <c r="O181" s="123">
        <f>VLOOKUP(D181,Poeng!$B$10:$BC$252,Poeng!AF$1,FALSE)</f>
        <v>0</v>
      </c>
      <c r="P181" s="123" t="str">
        <f>VLOOKUP(D181,Poeng!$B$10:$BH$252,Poeng!BH$1,FALSE)</f>
        <v>N/A</v>
      </c>
      <c r="Q181" s="744"/>
      <c r="R181" s="745"/>
      <c r="S181" s="738"/>
      <c r="T181" s="319"/>
      <c r="U181" s="83"/>
      <c r="V181" s="123">
        <f>VLOOKUP(D181,Poeng!$B$10:$BC$252,Poeng!AG$1,FALSE)</f>
        <v>0</v>
      </c>
      <c r="W181" s="123" t="str">
        <f>VLOOKUP(D181,Poeng!$B$10:$BK$252,Poeng!BK$1,FALSE)</f>
        <v>N/A</v>
      </c>
      <c r="X181" s="81"/>
      <c r="Y181" s="80"/>
      <c r="Z181" s="738"/>
      <c r="AA181" s="133"/>
      <c r="AB181" s="640"/>
      <c r="AC181" s="107">
        <f t="shared" si="21"/>
        <v>1</v>
      </c>
      <c r="AD181" s="3" t="e">
        <f>VLOOKUP(K181,'Assessment Details'!$O$45:$P$48,2,FALSE)</f>
        <v>#N/A</v>
      </c>
      <c r="AE181" s="3" t="e">
        <f>VLOOKUP(R181,'Assessment Details'!$O$45:$P$48,2,FALSE)</f>
        <v>#N/A</v>
      </c>
      <c r="AF181" s="3" t="e">
        <f>VLOOKUP(Y181,'Assessment Details'!$O$45:$P$48,2,FALSE)</f>
        <v>#N/A</v>
      </c>
      <c r="AI181" s="70"/>
      <c r="AJ181" s="671"/>
      <c r="AK181" s="70"/>
      <c r="AL181" s="70"/>
      <c r="AM181" s="70"/>
      <c r="AN181" s="70"/>
      <c r="AO181" s="70"/>
      <c r="AP181" s="70"/>
      <c r="AS181" s="23"/>
      <c r="AT181" s="23"/>
      <c r="AU181" s="23"/>
      <c r="AV181" s="23"/>
      <c r="AW181" s="23"/>
      <c r="AX181" s="23"/>
      <c r="AZ181" s="640"/>
    </row>
    <row r="182" spans="1:52" x14ac:dyDescent="0.25">
      <c r="A182" s="1076">
        <v>173</v>
      </c>
      <c r="B182" s="1077" t="s">
        <v>70</v>
      </c>
      <c r="C182" s="924" t="s">
        <v>184</v>
      </c>
      <c r="D182" s="824" t="s">
        <v>184</v>
      </c>
      <c r="E182" s="860" t="str">
        <f>VLOOKUP(D182,Poeng!$B$10:$R$252,Poeng!E$1,FALSE)</f>
        <v>LE 06 Climate adaption</v>
      </c>
      <c r="F182" s="865">
        <f>VLOOKUP(D182,Poeng!$B$10:$AB$252,Poeng!AB$1,FALSE)</f>
        <v>1</v>
      </c>
      <c r="G182" s="1001"/>
      <c r="H182" s="866" t="str">
        <f>VLOOKUP(D182,Poeng!$B$10:$AI$252,Poeng!AI$1,FALSE)&amp;" c. "&amp;ROUND(VLOOKUP(D182,Poeng!$B$10:$AE$252,Poeng!AE$1,FALSE)*100,1)&amp;" %"</f>
        <v>0 c. 0 %</v>
      </c>
      <c r="I182" s="924" t="str">
        <f>VLOOKUP(D182,Poeng!$B$10:$BE$252,Poeng!BE$1,FALSE)</f>
        <v>N/A</v>
      </c>
      <c r="J182" s="80"/>
      <c r="K182" s="281"/>
      <c r="L182" s="796"/>
      <c r="M182" s="816"/>
      <c r="N182" s="1001"/>
      <c r="O182" s="877" t="str">
        <f>VLOOKUP(D182,Poeng!$B$10:$BC$252,Poeng!AJ$1,FALSE)&amp;" c. "&amp;ROUND(VLOOKUP(D182,Poeng!$B$10:$BC$252,Poeng!AF$1,FALSE)*100,1)&amp;" %"</f>
        <v>0 c. 0 %</v>
      </c>
      <c r="P182" s="123" t="str">
        <f>VLOOKUP(D182,Poeng!$B$10:$BH$252,Poeng!BH$1,FALSE)</f>
        <v>N/A</v>
      </c>
      <c r="Q182" s="744"/>
      <c r="R182" s="745"/>
      <c r="S182" s="738"/>
      <c r="T182" s="319"/>
      <c r="U182" s="1001"/>
      <c r="V182" s="877" t="str">
        <f>VLOOKUP(D182,Poeng!$B$10:$BC$252,Poeng!AK$1,FALSE)&amp;" c. "&amp;ROUND(VLOOKUP(D182,Poeng!$B$10:$BC$252,Poeng!AG$1,FALSE)*100,1)&amp;" %"</f>
        <v>0 c. 0 %</v>
      </c>
      <c r="W182" s="123" t="str">
        <f>VLOOKUP(D182,Poeng!$B$10:$BK$252,Poeng!BK$1,FALSE)</f>
        <v>N/A</v>
      </c>
      <c r="X182" s="81"/>
      <c r="Y182" s="80"/>
      <c r="Z182" s="738"/>
      <c r="AA182" s="133"/>
      <c r="AB182" s="640" t="s">
        <v>14</v>
      </c>
      <c r="AC182" s="107">
        <f t="shared" si="21"/>
        <v>1</v>
      </c>
      <c r="AD182" s="3" t="e">
        <f>VLOOKUP(K182,'Assessment Details'!$O$45:$P$48,2,FALSE)</f>
        <v>#N/A</v>
      </c>
      <c r="AE182" s="3" t="e">
        <f>VLOOKUP(R182,'Assessment Details'!$O$45:$P$48,2,FALSE)</f>
        <v>#N/A</v>
      </c>
      <c r="AF182" s="3" t="e">
        <f>VLOOKUP(Y182,'Assessment Details'!$O$45:$P$48,2,FALSE)</f>
        <v>#N/A</v>
      </c>
      <c r="AI182" s="70"/>
      <c r="AJ182" s="671" t="s">
        <v>167</v>
      </c>
      <c r="AK182" s="70"/>
      <c r="AL182" s="70"/>
      <c r="AM182" s="70"/>
      <c r="AN182" s="70"/>
      <c r="AO182" s="70"/>
      <c r="AP182" s="70"/>
      <c r="AS182" s="23" t="str">
        <f t="shared" si="24"/>
        <v>N/A</v>
      </c>
      <c r="AT182" s="23" t="str">
        <f t="shared" si="25"/>
        <v>N/A</v>
      </c>
      <c r="AU182" s="23" t="str">
        <f t="shared" si="26"/>
        <v>N/A</v>
      </c>
      <c r="AV182" s="23"/>
      <c r="AW182" s="23"/>
      <c r="AX182" s="23"/>
      <c r="AZ182" s="640"/>
    </row>
    <row r="183" spans="1:52" x14ac:dyDescent="0.25">
      <c r="A183" s="1076">
        <v>174</v>
      </c>
      <c r="B183" s="1077" t="s">
        <v>70</v>
      </c>
      <c r="C183" s="1082" t="str">
        <f t="shared" si="19"/>
        <v>LE 06</v>
      </c>
      <c r="D183" s="824" t="s">
        <v>810</v>
      </c>
      <c r="E183" s="861" t="str">
        <f>VLOOKUP(D183,Poeng!$B$10:$R$252,Poeng!E$1,FALSE)</f>
        <v>Risk assessment (EU taxonomy requirement: criterion 1-6)</v>
      </c>
      <c r="F183" s="122">
        <f>VLOOKUP(D183,Poeng!$B$10:$AB$252,Poeng!AB$1,FALSE)</f>
        <v>1</v>
      </c>
      <c r="G183" s="43"/>
      <c r="H183" s="123">
        <f>VLOOKUP(D183,Poeng!$B$10:$AE$252,Poeng!AE$1,FALSE)</f>
        <v>0</v>
      </c>
      <c r="I183" s="124" t="str">
        <f>VLOOKUP(D183,Poeng!$B$10:$BE$252,Poeng!BE$1,FALSE)</f>
        <v>Very Good</v>
      </c>
      <c r="J183" s="80"/>
      <c r="K183" s="281"/>
      <c r="L183" s="796"/>
      <c r="M183" s="816"/>
      <c r="N183" s="83"/>
      <c r="O183" s="123">
        <f>VLOOKUP(D183,Poeng!$B$10:$BC$252,Poeng!AF$1,FALSE)</f>
        <v>0</v>
      </c>
      <c r="P183" s="123" t="str">
        <f>VLOOKUP(D183,Poeng!$B$10:$BH$252,Poeng!BH$1,FALSE)</f>
        <v>Very Good</v>
      </c>
      <c r="Q183" s="744"/>
      <c r="R183" s="745"/>
      <c r="S183" s="738"/>
      <c r="T183" s="319"/>
      <c r="U183" s="83"/>
      <c r="V183" s="123">
        <f>VLOOKUP(D183,Poeng!$B$10:$BC$252,Poeng!AG$1,FALSE)</f>
        <v>0</v>
      </c>
      <c r="W183" s="123" t="str">
        <f>VLOOKUP(D183,Poeng!$B$10:$BK$252,Poeng!BK$1,FALSE)</f>
        <v>Very Good</v>
      </c>
      <c r="X183" s="81"/>
      <c r="Y183" s="80"/>
      <c r="Z183" s="738"/>
      <c r="AA183" s="133"/>
      <c r="AB183" s="714"/>
      <c r="AC183" s="107">
        <f t="shared" si="21"/>
        <v>1</v>
      </c>
      <c r="AD183" s="3" t="e">
        <f>VLOOKUP(K183,'Assessment Details'!$O$45:$P$48,2,FALSE)</f>
        <v>#N/A</v>
      </c>
      <c r="AE183" s="3" t="e">
        <f>VLOOKUP(R183,'Assessment Details'!$O$45:$P$48,2,FALSE)</f>
        <v>#N/A</v>
      </c>
      <c r="AF183" s="3" t="e">
        <f>VLOOKUP(Y183,'Assessment Details'!$O$45:$P$48,2,FALSE)</f>
        <v>#N/A</v>
      </c>
      <c r="AI183" s="70"/>
      <c r="AJ183" s="671"/>
      <c r="AK183" s="70"/>
      <c r="AL183" s="70"/>
      <c r="AM183" s="70"/>
      <c r="AN183" s="70"/>
      <c r="AO183" s="70"/>
      <c r="AP183" s="70"/>
      <c r="AS183" s="23"/>
      <c r="AT183" s="23"/>
      <c r="AU183" s="23"/>
      <c r="AV183" s="23"/>
      <c r="AW183" s="23"/>
      <c r="AX183" s="23"/>
      <c r="AZ183" s="714"/>
    </row>
    <row r="184" spans="1:52" x14ac:dyDescent="0.25">
      <c r="A184" s="1076">
        <v>175</v>
      </c>
      <c r="B184" s="1077" t="s">
        <v>70</v>
      </c>
      <c r="C184" s="924" t="s">
        <v>481</v>
      </c>
      <c r="D184" s="824" t="s">
        <v>481</v>
      </c>
      <c r="E184" s="860" t="str">
        <f>VLOOKUP(D184,Poeng!$B$10:$R$252,Poeng!E$1,FALSE)</f>
        <v>LE 07 Flooding and storm surge</v>
      </c>
      <c r="F184" s="865">
        <f>VLOOKUP(D184,Poeng!$B$10:$AB$252,Poeng!AB$1,FALSE)</f>
        <v>2</v>
      </c>
      <c r="G184" s="1001"/>
      <c r="H184" s="866" t="str">
        <f>VLOOKUP(D184,Poeng!$B$10:$AI$252,Poeng!AI$1,FALSE)&amp;" c. "&amp;ROUND(VLOOKUP(D184,Poeng!$B$10:$AE$252,Poeng!AE$1,FALSE)*100,1)&amp;" %"</f>
        <v>0 c. 0 %</v>
      </c>
      <c r="I184" s="924" t="str">
        <f>VLOOKUP(D184,Poeng!$B$10:$BE$252,Poeng!BE$1,FALSE)</f>
        <v>N/A</v>
      </c>
      <c r="J184" s="80"/>
      <c r="K184" s="281"/>
      <c r="L184" s="796"/>
      <c r="M184" s="816"/>
      <c r="N184" s="1001"/>
      <c r="O184" s="877" t="str">
        <f>VLOOKUP(D184,Poeng!$B$10:$BC$252,Poeng!AJ$1,FALSE)&amp;" c. "&amp;ROUND(VLOOKUP(D184,Poeng!$B$10:$BC$252,Poeng!AF$1,FALSE)*100,1)&amp;" %"</f>
        <v>0 c. 0 %</v>
      </c>
      <c r="P184" s="123" t="str">
        <f>VLOOKUP(D184,Poeng!$B$10:$BH$252,Poeng!BH$1,FALSE)</f>
        <v>N/A</v>
      </c>
      <c r="Q184" s="744"/>
      <c r="R184" s="745"/>
      <c r="S184" s="738"/>
      <c r="T184" s="319"/>
      <c r="U184" s="1001"/>
      <c r="V184" s="877" t="str">
        <f>VLOOKUP(D184,Poeng!$B$10:$BC$252,Poeng!AK$1,FALSE)&amp;" c. "&amp;ROUND(VLOOKUP(D184,Poeng!$B$10:$BC$252,Poeng!AG$1,FALSE)*100,1)&amp;" %"</f>
        <v>0 c. 0 %</v>
      </c>
      <c r="W184" s="123" t="str">
        <f>VLOOKUP(D184,Poeng!$B$10:$BK$252,Poeng!BK$1,FALSE)</f>
        <v>N/A</v>
      </c>
      <c r="X184" s="81"/>
      <c r="Y184" s="80"/>
      <c r="Z184" s="738"/>
      <c r="AA184" s="133"/>
      <c r="AB184" s="714"/>
      <c r="AC184" s="107">
        <f t="shared" si="21"/>
        <v>1</v>
      </c>
      <c r="AD184" s="3" t="e">
        <f>VLOOKUP(K184,'Assessment Details'!$O$45:$P$48,2,FALSE)</f>
        <v>#N/A</v>
      </c>
      <c r="AE184" s="3" t="e">
        <f>VLOOKUP(R184,'Assessment Details'!$O$45:$P$48,2,FALSE)</f>
        <v>#N/A</v>
      </c>
      <c r="AF184" s="3" t="e">
        <f>VLOOKUP(Y184,'Assessment Details'!$O$45:$P$48,2,FALSE)</f>
        <v>#N/A</v>
      </c>
      <c r="AI184" s="70"/>
      <c r="AJ184" s="671"/>
      <c r="AK184" s="70"/>
      <c r="AL184" s="70"/>
      <c r="AM184" s="70"/>
      <c r="AN184" s="70"/>
      <c r="AO184" s="70"/>
      <c r="AP184" s="70"/>
      <c r="AS184" s="23"/>
      <c r="AT184" s="23"/>
      <c r="AU184" s="23"/>
      <c r="AV184" s="23"/>
      <c r="AW184" s="23"/>
      <c r="AX184" s="23"/>
      <c r="AZ184" s="714"/>
    </row>
    <row r="185" spans="1:52" x14ac:dyDescent="0.25">
      <c r="A185" s="1076">
        <v>176</v>
      </c>
      <c r="B185" s="1077" t="s">
        <v>70</v>
      </c>
      <c r="C185" s="1082" t="str">
        <f t="shared" si="19"/>
        <v>LE 07</v>
      </c>
      <c r="D185" s="824" t="s">
        <v>811</v>
      </c>
      <c r="E185" s="861" t="str">
        <f>VLOOKUP(D185,Poeng!$B$10:$R$252,Poeng!E$1,FALSE)</f>
        <v>Pre-requisite: flood risk assessment</v>
      </c>
      <c r="F185" s="122" t="str">
        <f>VLOOKUP(D185,Poeng!$B$10:$AB$252,Poeng!AB$1,FALSE)</f>
        <v>Yes/No</v>
      </c>
      <c r="G185" s="43"/>
      <c r="H185" s="123" t="str">
        <f>VLOOKUP(D185,Poeng!$B$10:$AE$252,Poeng!AE$1,FALSE)</f>
        <v>-</v>
      </c>
      <c r="I185" s="124" t="str">
        <f>VLOOKUP(D185,Poeng!$B$10:$BE$252,Poeng!BE$1,FALSE)</f>
        <v>N/A</v>
      </c>
      <c r="J185" s="80"/>
      <c r="K185" s="281"/>
      <c r="L185" s="796"/>
      <c r="M185" s="816"/>
      <c r="N185" s="83"/>
      <c r="O185" s="123" t="str">
        <f>VLOOKUP(D185,Poeng!$B$10:$BC$252,Poeng!AF$1,FALSE)</f>
        <v>-</v>
      </c>
      <c r="P185" s="123" t="str">
        <f>VLOOKUP(D185,Poeng!$B$10:$BH$252,Poeng!BH$1,FALSE)</f>
        <v>N/A</v>
      </c>
      <c r="Q185" s="744"/>
      <c r="R185" s="745"/>
      <c r="S185" s="738"/>
      <c r="T185" s="319"/>
      <c r="U185" s="83"/>
      <c r="V185" s="123" t="str">
        <f>VLOOKUP(D185,Poeng!$B$10:$BC$252,Poeng!AG$1,FALSE)</f>
        <v>-</v>
      </c>
      <c r="W185" s="123" t="str">
        <f>VLOOKUP(D185,Poeng!$B$10:$BK$252,Poeng!BK$1,FALSE)</f>
        <v>N/A</v>
      </c>
      <c r="X185" s="81"/>
      <c r="Y185" s="80"/>
      <c r="Z185" s="738"/>
      <c r="AA185" s="133"/>
      <c r="AB185" s="714"/>
      <c r="AC185" s="107">
        <f t="shared" si="21"/>
        <v>1</v>
      </c>
      <c r="AD185" s="3" t="e">
        <f>VLOOKUP(K185,'Assessment Details'!$O$45:$P$48,2,FALSE)</f>
        <v>#N/A</v>
      </c>
      <c r="AE185" s="3" t="e">
        <f>VLOOKUP(R185,'Assessment Details'!$O$45:$P$48,2,FALSE)</f>
        <v>#N/A</v>
      </c>
      <c r="AF185" s="3" t="e">
        <f>VLOOKUP(Y185,'Assessment Details'!$O$45:$P$48,2,FALSE)</f>
        <v>#N/A</v>
      </c>
      <c r="AI185" s="70"/>
      <c r="AJ185" s="671"/>
      <c r="AK185" s="70"/>
      <c r="AL185" s="70"/>
      <c r="AM185" s="70"/>
      <c r="AN185" s="70"/>
      <c r="AO185" s="70"/>
      <c r="AP185" s="70"/>
      <c r="AS185" s="23"/>
      <c r="AT185" s="23"/>
      <c r="AU185" s="23"/>
      <c r="AV185" s="23"/>
      <c r="AW185" s="23"/>
      <c r="AX185" s="23"/>
      <c r="AZ185" s="714"/>
    </row>
    <row r="186" spans="1:52" x14ac:dyDescent="0.25">
      <c r="A186" s="1076">
        <v>177</v>
      </c>
      <c r="B186" s="1077" t="s">
        <v>70</v>
      </c>
      <c r="C186" s="1082" t="str">
        <f t="shared" si="19"/>
        <v>LE 07</v>
      </c>
      <c r="D186" s="824" t="s">
        <v>812</v>
      </c>
      <c r="E186" s="861" t="str">
        <f>VLOOKUP(D186,Poeng!$B$10:$R$252,Poeng!E$1,FALSE)</f>
        <v>Resilience against flood and storm surge</v>
      </c>
      <c r="F186" s="122">
        <f>VLOOKUP(D186,Poeng!$B$10:$AB$252,Poeng!AB$1,FALSE)</f>
        <v>2</v>
      </c>
      <c r="G186" s="43"/>
      <c r="H186" s="123">
        <f>VLOOKUP(D186,Poeng!$B$10:$AE$252,Poeng!AE$1,FALSE)</f>
        <v>0</v>
      </c>
      <c r="I186" s="124" t="str">
        <f>VLOOKUP(D186,Poeng!$B$10:$BE$252,Poeng!BE$1,FALSE)</f>
        <v>N/A</v>
      </c>
      <c r="J186" s="80"/>
      <c r="K186" s="281"/>
      <c r="L186" s="796"/>
      <c r="M186" s="816"/>
      <c r="N186" s="83"/>
      <c r="O186" s="123">
        <f>VLOOKUP(D186,Poeng!$B$10:$BC$252,Poeng!AF$1,FALSE)</f>
        <v>0</v>
      </c>
      <c r="P186" s="123" t="str">
        <f>VLOOKUP(D186,Poeng!$B$10:$BH$252,Poeng!BH$1,FALSE)</f>
        <v>N/A</v>
      </c>
      <c r="Q186" s="744"/>
      <c r="R186" s="745"/>
      <c r="S186" s="738"/>
      <c r="T186" s="319"/>
      <c r="U186" s="83"/>
      <c r="V186" s="123">
        <f>VLOOKUP(D186,Poeng!$B$10:$BC$252,Poeng!AG$1,FALSE)</f>
        <v>0</v>
      </c>
      <c r="W186" s="123" t="str">
        <f>VLOOKUP(D186,Poeng!$B$10:$BK$252,Poeng!BK$1,FALSE)</f>
        <v>N/A</v>
      </c>
      <c r="X186" s="81"/>
      <c r="Y186" s="80"/>
      <c r="Z186" s="738"/>
      <c r="AA186" s="133"/>
      <c r="AB186" s="714"/>
      <c r="AC186" s="107">
        <f t="shared" si="21"/>
        <v>1</v>
      </c>
      <c r="AD186" s="3" t="e">
        <f>VLOOKUP(K186,'Assessment Details'!$O$45:$P$48,2,FALSE)</f>
        <v>#N/A</v>
      </c>
      <c r="AE186" s="3" t="e">
        <f>VLOOKUP(R186,'Assessment Details'!$O$45:$P$48,2,FALSE)</f>
        <v>#N/A</v>
      </c>
      <c r="AF186" s="3" t="e">
        <f>VLOOKUP(Y186,'Assessment Details'!$O$45:$P$48,2,FALSE)</f>
        <v>#N/A</v>
      </c>
      <c r="AI186" s="70"/>
      <c r="AJ186" s="671"/>
      <c r="AK186" s="70"/>
      <c r="AL186" s="70"/>
      <c r="AM186" s="70"/>
      <c r="AN186" s="70"/>
      <c r="AO186" s="70"/>
      <c r="AP186" s="70"/>
      <c r="AS186" s="23"/>
      <c r="AT186" s="23"/>
      <c r="AU186" s="23"/>
      <c r="AV186" s="23"/>
      <c r="AW186" s="23"/>
      <c r="AX186" s="23"/>
      <c r="AZ186" s="714"/>
    </row>
    <row r="187" spans="1:52" x14ac:dyDescent="0.25">
      <c r="A187" s="1076">
        <v>178</v>
      </c>
      <c r="B187" s="1077" t="s">
        <v>70</v>
      </c>
      <c r="C187" s="924" t="s">
        <v>482</v>
      </c>
      <c r="D187" s="824" t="s">
        <v>482</v>
      </c>
      <c r="E187" s="860" t="str">
        <f>VLOOKUP(D187,Poeng!$B$10:$R$252,Poeng!E$1,FALSE)</f>
        <v>LE 08 Local surface water handling</v>
      </c>
      <c r="F187" s="865">
        <f>VLOOKUP(D187,Poeng!$B$10:$AB$252,Poeng!AB$1,FALSE)</f>
        <v>3</v>
      </c>
      <c r="G187" s="1001"/>
      <c r="H187" s="866" t="str">
        <f>VLOOKUP(D187,Poeng!$B$10:$AI$252,Poeng!AI$1,FALSE)&amp;" c. "&amp;ROUND(VLOOKUP(D187,Poeng!$B$10:$AE$252,Poeng!AE$1,FALSE)*100,1)&amp;" %"</f>
        <v>0 c. 0 %</v>
      </c>
      <c r="I187" s="924" t="str">
        <f>VLOOKUP(D187,Poeng!$B$10:$BE$252,Poeng!BE$1,FALSE)</f>
        <v>N/A</v>
      </c>
      <c r="J187" s="80"/>
      <c r="K187" s="281"/>
      <c r="L187" s="796"/>
      <c r="M187" s="816"/>
      <c r="N187" s="1001"/>
      <c r="O187" s="877" t="str">
        <f>VLOOKUP(D187,Poeng!$B$10:$BC$252,Poeng!AJ$1,FALSE)&amp;" c. "&amp;ROUND(VLOOKUP(D187,Poeng!$B$10:$BC$252,Poeng!AF$1,FALSE)*100,1)&amp;" %"</f>
        <v>0 c. 0 %</v>
      </c>
      <c r="P187" s="123" t="str">
        <f>VLOOKUP(D187,Poeng!$B$10:$BH$252,Poeng!BH$1,FALSE)</f>
        <v>N/A</v>
      </c>
      <c r="Q187" s="744"/>
      <c r="R187" s="745"/>
      <c r="S187" s="738"/>
      <c r="T187" s="319"/>
      <c r="U187" s="1001"/>
      <c r="V187" s="877" t="str">
        <f>VLOOKUP(D187,Poeng!$B$10:$BC$252,Poeng!AK$1,FALSE)&amp;" c. "&amp;ROUND(VLOOKUP(D187,Poeng!$B$10:$BC$252,Poeng!AG$1,FALSE)*100,1)&amp;" %"</f>
        <v>0 c. 0 %</v>
      </c>
      <c r="W187" s="123" t="str">
        <f>VLOOKUP(D187,Poeng!$B$10:$BK$252,Poeng!BK$1,FALSE)</f>
        <v>N/A</v>
      </c>
      <c r="X187" s="81"/>
      <c r="Y187" s="80"/>
      <c r="Z187" s="738"/>
      <c r="AA187" s="133"/>
      <c r="AB187" s="714"/>
      <c r="AC187" s="107">
        <f t="shared" si="21"/>
        <v>1</v>
      </c>
      <c r="AD187" s="3" t="e">
        <f>VLOOKUP(K187,'Assessment Details'!$O$45:$P$48,2,FALSE)</f>
        <v>#N/A</v>
      </c>
      <c r="AE187" s="3" t="e">
        <f>VLOOKUP(R187,'Assessment Details'!$O$45:$P$48,2,FALSE)</f>
        <v>#N/A</v>
      </c>
      <c r="AF187" s="3" t="e">
        <f>VLOOKUP(Y187,'Assessment Details'!$O$45:$P$48,2,FALSE)</f>
        <v>#N/A</v>
      </c>
      <c r="AI187" s="70"/>
      <c r="AJ187" s="671"/>
      <c r="AK187" s="70"/>
      <c r="AL187" s="70"/>
      <c r="AM187" s="70"/>
      <c r="AN187" s="70"/>
      <c r="AO187" s="70"/>
      <c r="AP187" s="70"/>
      <c r="AS187" s="23"/>
      <c r="AT187" s="23"/>
      <c r="AU187" s="23"/>
      <c r="AV187" s="23"/>
      <c r="AW187" s="23"/>
      <c r="AX187" s="23"/>
      <c r="AZ187" s="714"/>
    </row>
    <row r="188" spans="1:52" x14ac:dyDescent="0.25">
      <c r="A188" s="1076">
        <v>179</v>
      </c>
      <c r="B188" s="1077" t="s">
        <v>70</v>
      </c>
      <c r="C188" s="1082" t="str">
        <f t="shared" si="19"/>
        <v>LE 08</v>
      </c>
      <c r="D188" s="824" t="s">
        <v>813</v>
      </c>
      <c r="E188" s="861" t="str">
        <f>VLOOKUP(D188,Poeng!$B$10:$R$252,Poeng!E$1,FALSE)</f>
        <v>Pre-requisite: risk assessment and the "three- step strategy"</v>
      </c>
      <c r="F188" s="122" t="str">
        <f>VLOOKUP(D188,Poeng!$B$10:$AB$252,Poeng!AB$1,FALSE)</f>
        <v>Yes/No</v>
      </c>
      <c r="G188" s="43"/>
      <c r="H188" s="123" t="str">
        <f>VLOOKUP(D188,Poeng!$B$10:$AE$252,Poeng!AE$1,FALSE)</f>
        <v>-</v>
      </c>
      <c r="I188" s="124" t="str">
        <f>VLOOKUP(D188,Poeng!$B$10:$BE$252,Poeng!BE$1,FALSE)</f>
        <v>N/A</v>
      </c>
      <c r="J188" s="80"/>
      <c r="K188" s="281"/>
      <c r="L188" s="796"/>
      <c r="M188" s="816"/>
      <c r="N188" s="83"/>
      <c r="O188" s="123" t="str">
        <f>VLOOKUP(D188,Poeng!$B$10:$BC$252,Poeng!AF$1,FALSE)</f>
        <v>-</v>
      </c>
      <c r="P188" s="123" t="str">
        <f>VLOOKUP(D188,Poeng!$B$10:$BH$252,Poeng!BH$1,FALSE)</f>
        <v>N/A</v>
      </c>
      <c r="Q188" s="744"/>
      <c r="R188" s="745"/>
      <c r="S188" s="738"/>
      <c r="T188" s="319"/>
      <c r="U188" s="83"/>
      <c r="V188" s="123" t="str">
        <f>VLOOKUP(D188,Poeng!$B$10:$BC$252,Poeng!AG$1,FALSE)</f>
        <v>-</v>
      </c>
      <c r="W188" s="123" t="str">
        <f>VLOOKUP(D188,Poeng!$B$10:$BK$252,Poeng!BK$1,FALSE)</f>
        <v>N/A</v>
      </c>
      <c r="X188" s="81"/>
      <c r="Y188" s="80"/>
      <c r="Z188" s="738"/>
      <c r="AA188" s="133"/>
      <c r="AB188" s="714"/>
      <c r="AC188" s="107">
        <f t="shared" si="21"/>
        <v>1</v>
      </c>
      <c r="AD188" s="3" t="e">
        <f>VLOOKUP(K188,'Assessment Details'!$O$45:$P$48,2,FALSE)</f>
        <v>#N/A</v>
      </c>
      <c r="AE188" s="3" t="e">
        <f>VLOOKUP(R188,'Assessment Details'!$O$45:$P$48,2,FALSE)</f>
        <v>#N/A</v>
      </c>
      <c r="AF188" s="3" t="e">
        <f>VLOOKUP(Y188,'Assessment Details'!$O$45:$P$48,2,FALSE)</f>
        <v>#N/A</v>
      </c>
      <c r="AI188" s="70"/>
      <c r="AJ188" s="671"/>
      <c r="AK188" s="70"/>
      <c r="AL188" s="70"/>
      <c r="AM188" s="70"/>
      <c r="AN188" s="70"/>
      <c r="AO188" s="70"/>
      <c r="AP188" s="70"/>
      <c r="AS188" s="23"/>
      <c r="AT188" s="23"/>
      <c r="AU188" s="23"/>
      <c r="AV188" s="23"/>
      <c r="AW188" s="23"/>
      <c r="AX188" s="23"/>
      <c r="AZ188" s="714"/>
    </row>
    <row r="189" spans="1:52" x14ac:dyDescent="0.25">
      <c r="A189" s="1076">
        <v>180</v>
      </c>
      <c r="B189" s="1077" t="s">
        <v>70</v>
      </c>
      <c r="C189" s="1082" t="str">
        <f>C188</f>
        <v>LE 08</v>
      </c>
      <c r="D189" s="824" t="s">
        <v>814</v>
      </c>
      <c r="E189" s="861" t="str">
        <f>VLOOKUP(D189,Poeng!$B$10:$R$252,Poeng!E$1,FALSE)</f>
        <v>5 mm precipitation</v>
      </c>
      <c r="F189" s="122">
        <f>VLOOKUP(D189,Poeng!$B$10:$AB$252,Poeng!AB$1,FALSE)</f>
        <v>1</v>
      </c>
      <c r="G189" s="43"/>
      <c r="H189" s="123">
        <f>VLOOKUP(D189,Poeng!$B$10:$AE$252,Poeng!AE$1,FALSE)</f>
        <v>0</v>
      </c>
      <c r="I189" s="124" t="str">
        <f>VLOOKUP(D189,Poeng!$B$10:$BE$252,Poeng!BE$1,FALSE)</f>
        <v>N/A</v>
      </c>
      <c r="J189" s="80"/>
      <c r="K189" s="281"/>
      <c r="L189" s="796"/>
      <c r="M189" s="816"/>
      <c r="N189" s="83"/>
      <c r="O189" s="123">
        <f>VLOOKUP(D189,Poeng!$B$10:$BC$252,Poeng!AF$1,FALSE)</f>
        <v>0</v>
      </c>
      <c r="P189" s="123" t="str">
        <f>VLOOKUP(D189,Poeng!$B$10:$BH$252,Poeng!BH$1,FALSE)</f>
        <v>N/A</v>
      </c>
      <c r="Q189" s="744"/>
      <c r="R189" s="745"/>
      <c r="S189" s="738"/>
      <c r="T189" s="319"/>
      <c r="U189" s="83"/>
      <c r="V189" s="123">
        <f>VLOOKUP(D189,Poeng!$B$10:$BC$252,Poeng!AG$1,FALSE)</f>
        <v>0</v>
      </c>
      <c r="W189" s="123" t="str">
        <f>VLOOKUP(D189,Poeng!$B$10:$BK$252,Poeng!BK$1,FALSE)</f>
        <v>N/A</v>
      </c>
      <c r="X189" s="81"/>
      <c r="Y189" s="80"/>
      <c r="Z189" s="738"/>
      <c r="AA189" s="133"/>
      <c r="AB189" s="714"/>
      <c r="AC189" s="107">
        <f t="shared" si="21"/>
        <v>1</v>
      </c>
      <c r="AD189" s="3" t="e">
        <f>VLOOKUP(K189,'Assessment Details'!$O$45:$P$48,2,FALSE)</f>
        <v>#N/A</v>
      </c>
      <c r="AE189" s="3" t="e">
        <f>VLOOKUP(R189,'Assessment Details'!$O$45:$P$48,2,FALSE)</f>
        <v>#N/A</v>
      </c>
      <c r="AF189" s="3" t="e">
        <f>VLOOKUP(Y189,'Assessment Details'!$O$45:$P$48,2,FALSE)</f>
        <v>#N/A</v>
      </c>
      <c r="AI189" s="70"/>
      <c r="AJ189" s="671"/>
      <c r="AK189" s="70"/>
      <c r="AL189" s="70"/>
      <c r="AM189" s="70"/>
      <c r="AN189" s="70"/>
      <c r="AO189" s="70"/>
      <c r="AP189" s="70"/>
      <c r="AS189" s="23"/>
      <c r="AT189" s="23"/>
      <c r="AU189" s="23"/>
      <c r="AV189" s="23"/>
      <c r="AW189" s="23"/>
      <c r="AX189" s="23"/>
      <c r="AZ189" s="714"/>
    </row>
    <row r="190" spans="1:52" x14ac:dyDescent="0.25">
      <c r="A190" s="1076">
        <v>181</v>
      </c>
      <c r="B190" s="1077" t="s">
        <v>70</v>
      </c>
      <c r="C190" s="1082" t="str">
        <f>C188</f>
        <v>LE 08</v>
      </c>
      <c r="D190" s="824" t="s">
        <v>815</v>
      </c>
      <c r="E190" s="861" t="str">
        <f>VLOOKUP(D190,Poeng!$B$10:$R$252,Poeng!E$1,FALSE)</f>
        <v>Maximum run-off</v>
      </c>
      <c r="F190" s="122">
        <f>VLOOKUP(D190,Poeng!$B$10:$AB$252,Poeng!AB$1,FALSE)</f>
        <v>1</v>
      </c>
      <c r="G190" s="43"/>
      <c r="H190" s="123">
        <f>VLOOKUP(D190,Poeng!$B$10:$AE$252,Poeng!AE$1,FALSE)</f>
        <v>0</v>
      </c>
      <c r="I190" s="124" t="str">
        <f>VLOOKUP(D190,Poeng!$B$10:$BE$252,Poeng!BE$1,FALSE)</f>
        <v>N/A</v>
      </c>
      <c r="J190" s="80"/>
      <c r="K190" s="281"/>
      <c r="L190" s="796"/>
      <c r="M190" s="816"/>
      <c r="N190" s="83"/>
      <c r="O190" s="123">
        <f>VLOOKUP(D190,Poeng!$B$10:$BC$252,Poeng!AF$1,FALSE)</f>
        <v>0</v>
      </c>
      <c r="P190" s="123" t="str">
        <f>VLOOKUP(D190,Poeng!$B$10:$BH$252,Poeng!BH$1,FALSE)</f>
        <v>N/A</v>
      </c>
      <c r="Q190" s="744"/>
      <c r="R190" s="745"/>
      <c r="S190" s="738"/>
      <c r="T190" s="319"/>
      <c r="U190" s="83"/>
      <c r="V190" s="123">
        <f>VLOOKUP(D190,Poeng!$B$10:$BC$252,Poeng!AG$1,FALSE)</f>
        <v>0</v>
      </c>
      <c r="W190" s="123" t="str">
        <f>VLOOKUP(D190,Poeng!$B$10:$BK$252,Poeng!BK$1,FALSE)</f>
        <v>N/A</v>
      </c>
      <c r="X190" s="81"/>
      <c r="Y190" s="80"/>
      <c r="Z190" s="738"/>
      <c r="AA190" s="133"/>
      <c r="AB190" s="714"/>
      <c r="AC190" s="107">
        <f t="shared" ref="AC190" si="29">IF(F190="",1,IF(F190=0,2,1))</f>
        <v>1</v>
      </c>
      <c r="AD190" s="3" t="e">
        <f>VLOOKUP(K190,'Assessment Details'!$O$45:$P$48,2,FALSE)</f>
        <v>#N/A</v>
      </c>
      <c r="AE190" s="3" t="e">
        <f>VLOOKUP(R190,'Assessment Details'!$O$45:$P$48,2,FALSE)</f>
        <v>#N/A</v>
      </c>
      <c r="AF190" s="3" t="e">
        <f>VLOOKUP(Y190,'Assessment Details'!$O$45:$P$48,2,FALSE)</f>
        <v>#N/A</v>
      </c>
      <c r="AI190" s="70"/>
      <c r="AJ190" s="671"/>
      <c r="AK190" s="70"/>
      <c r="AL190" s="70"/>
      <c r="AM190" s="70"/>
      <c r="AN190" s="70"/>
      <c r="AO190" s="70"/>
      <c r="AP190" s="70"/>
      <c r="AS190" s="23"/>
      <c r="AT190" s="23"/>
      <c r="AU190" s="23"/>
      <c r="AV190" s="23"/>
      <c r="AW190" s="23"/>
      <c r="AX190" s="23"/>
      <c r="AZ190" s="714"/>
    </row>
    <row r="191" spans="1:52" x14ac:dyDescent="0.25">
      <c r="A191" s="1076">
        <v>182</v>
      </c>
      <c r="B191" s="1077" t="s">
        <v>70</v>
      </c>
      <c r="C191" s="1082" t="str">
        <f>C189</f>
        <v>LE 08</v>
      </c>
      <c r="D191" s="824" t="s">
        <v>961</v>
      </c>
      <c r="E191" s="861" t="str">
        <f>VLOOKUP(D191,Poeng!$B$10:$R$252,Poeng!E$1,FALSE)</f>
        <v>Measures for surface-based water management</v>
      </c>
      <c r="F191" s="122">
        <f>VLOOKUP(D191,Poeng!$B$10:$AB$252,Poeng!AB$1,FALSE)</f>
        <v>1</v>
      </c>
      <c r="G191" s="43"/>
      <c r="H191" s="123">
        <f>VLOOKUP(D191,Poeng!$B$10:$AE$252,Poeng!AE$1,FALSE)</f>
        <v>0</v>
      </c>
      <c r="I191" s="124" t="str">
        <f>VLOOKUP(D191,Poeng!$B$10:$BE$252,Poeng!BE$1,FALSE)</f>
        <v>N/A</v>
      </c>
      <c r="J191" s="80"/>
      <c r="K191" s="281"/>
      <c r="L191" s="796"/>
      <c r="M191" s="816"/>
      <c r="N191" s="83"/>
      <c r="O191" s="123">
        <f>VLOOKUP(D191,Poeng!$B$10:$BC$252,Poeng!AF$1,FALSE)</f>
        <v>0</v>
      </c>
      <c r="P191" s="123" t="str">
        <f>VLOOKUP(D191,Poeng!$B$10:$BH$252,Poeng!BH$1,FALSE)</f>
        <v>N/A</v>
      </c>
      <c r="Q191" s="744"/>
      <c r="R191" s="745"/>
      <c r="S191" s="738"/>
      <c r="T191" s="319"/>
      <c r="U191" s="83"/>
      <c r="V191" s="123">
        <f>VLOOKUP(D191,Poeng!$B$10:$BC$252,Poeng!AG$1,FALSE)</f>
        <v>0</v>
      </c>
      <c r="W191" s="123" t="str">
        <f>VLOOKUP(D191,Poeng!$B$10:$BK$252,Poeng!BK$1,FALSE)</f>
        <v>N/A</v>
      </c>
      <c r="X191" s="81"/>
      <c r="Y191" s="80"/>
      <c r="Z191" s="738"/>
      <c r="AA191" s="133"/>
      <c r="AB191" s="714"/>
      <c r="AC191" s="107">
        <f t="shared" si="21"/>
        <v>1</v>
      </c>
      <c r="AD191" s="3" t="e">
        <f>VLOOKUP(K191,'Assessment Details'!$O$45:$P$48,2,FALSE)</f>
        <v>#N/A</v>
      </c>
      <c r="AE191" s="3" t="e">
        <f>VLOOKUP(R191,'Assessment Details'!$O$45:$P$48,2,FALSE)</f>
        <v>#N/A</v>
      </c>
      <c r="AF191" s="3" t="e">
        <f>VLOOKUP(Y191,'Assessment Details'!$O$45:$P$48,2,FALSE)</f>
        <v>#N/A</v>
      </c>
      <c r="AI191" s="70"/>
      <c r="AJ191" s="671"/>
      <c r="AK191" s="70"/>
      <c r="AL191" s="70"/>
      <c r="AM191" s="70"/>
      <c r="AN191" s="70"/>
      <c r="AO191" s="70"/>
      <c r="AP191" s="70"/>
      <c r="AS191" s="23"/>
      <c r="AT191" s="23"/>
      <c r="AU191" s="23"/>
      <c r="AV191" s="23"/>
      <c r="AW191" s="23"/>
      <c r="AX191" s="23"/>
      <c r="AZ191" s="714"/>
    </row>
    <row r="192" spans="1:52" ht="15.75" thickBot="1" x14ac:dyDescent="0.3">
      <c r="A192" s="1076">
        <v>183</v>
      </c>
      <c r="B192" s="1077" t="s">
        <v>70</v>
      </c>
      <c r="C192" s="1089"/>
      <c r="D192" s="824" t="s">
        <v>889</v>
      </c>
      <c r="E192" s="341" t="s">
        <v>110</v>
      </c>
      <c r="F192" s="125">
        <f>LE_Credits</f>
        <v>19</v>
      </c>
      <c r="G192" s="131"/>
      <c r="H192" s="126">
        <f>LE_cont_tot</f>
        <v>0</v>
      </c>
      <c r="I192" s="867" t="str">
        <f>"Credits achieved: "&amp;Lue_tot_user</f>
        <v>Credits achieved: 0</v>
      </c>
      <c r="J192" s="134"/>
      <c r="K192" s="282"/>
      <c r="L192" s="746"/>
      <c r="M192" s="816"/>
      <c r="N192" s="383"/>
      <c r="O192" s="126">
        <f>VLOOKUP(D192,Poeng!$B$10:$BC$252,Poeng!AF$1,FALSE)</f>
        <v>0</v>
      </c>
      <c r="P192" s="867" t="str">
        <f>"Credits achieved: "&amp;Lue_d_user</f>
        <v>Credits achieved: 0</v>
      </c>
      <c r="Q192" s="747"/>
      <c r="R192" s="748"/>
      <c r="S192" s="746"/>
      <c r="T192" s="319"/>
      <c r="U192" s="383"/>
      <c r="V192" s="126">
        <f>VLOOKUP(D192,Poeng!$B$10:$BC$252,Poeng!AG$1,FALSE)</f>
        <v>0</v>
      </c>
      <c r="W192" s="867" t="str">
        <f>"Credits achieved: "&amp;Lue_c_user</f>
        <v>Credits achieved: 0</v>
      </c>
      <c r="X192" s="382"/>
      <c r="Y192" s="136"/>
      <c r="Z192" s="746"/>
      <c r="AA192" s="133"/>
      <c r="AB192" s="641"/>
      <c r="AC192" s="107">
        <f t="shared" si="21"/>
        <v>1</v>
      </c>
      <c r="AD192" s="276">
        <v>0</v>
      </c>
      <c r="AE192" s="276">
        <v>0</v>
      </c>
      <c r="AF192" s="276">
        <v>0</v>
      </c>
      <c r="AI192" s="70"/>
      <c r="AJ192" s="671" t="s">
        <v>110</v>
      </c>
      <c r="AK192" s="70"/>
      <c r="AL192" s="70"/>
      <c r="AM192" s="70"/>
      <c r="AN192" s="70"/>
      <c r="AO192" s="70"/>
      <c r="AP192" s="70"/>
      <c r="AS192" s="23" t="str">
        <f t="shared" si="24"/>
        <v>N/A</v>
      </c>
      <c r="AT192" s="23" t="str">
        <f t="shared" si="25"/>
        <v>N/A</v>
      </c>
      <c r="AU192" s="23" t="str">
        <f t="shared" si="26"/>
        <v>N/A</v>
      </c>
      <c r="AV192" s="23"/>
      <c r="AW192" s="23"/>
      <c r="AX192" s="23"/>
      <c r="AZ192" s="641"/>
    </row>
    <row r="193" spans="1:52" x14ac:dyDescent="0.25">
      <c r="A193" s="1076">
        <v>184</v>
      </c>
      <c r="B193" s="1077" t="s">
        <v>70</v>
      </c>
      <c r="C193" s="322"/>
      <c r="D193" s="824"/>
      <c r="E193" s="321"/>
      <c r="F193" s="322"/>
      <c r="G193" s="323"/>
      <c r="H193" s="322"/>
      <c r="I193" s="322"/>
      <c r="J193" s="324"/>
      <c r="K193" s="323"/>
      <c r="L193" s="749"/>
      <c r="M193" s="815"/>
      <c r="N193" s="325"/>
      <c r="O193" s="325"/>
      <c r="P193" s="749"/>
      <c r="Q193" s="749"/>
      <c r="R193" s="750"/>
      <c r="S193" s="1094"/>
      <c r="T193" s="326"/>
      <c r="U193" s="325"/>
      <c r="V193" s="325"/>
      <c r="W193" s="749"/>
      <c r="X193" s="324"/>
      <c r="Y193" s="325"/>
      <c r="Z193" s="1094"/>
      <c r="AA193" s="699"/>
      <c r="AB193" s="324"/>
      <c r="AC193" s="107">
        <f t="shared" si="21"/>
        <v>1</v>
      </c>
      <c r="AD193" s="278">
        <v>0</v>
      </c>
      <c r="AE193" s="278">
        <v>0</v>
      </c>
      <c r="AF193" s="278">
        <v>0</v>
      </c>
      <c r="AI193" s="70"/>
      <c r="AJ193" s="671"/>
      <c r="AK193" s="70"/>
      <c r="AL193" s="70"/>
      <c r="AM193" s="70"/>
      <c r="AN193" s="70"/>
      <c r="AO193" s="70"/>
      <c r="AP193" s="70"/>
      <c r="AS193" s="23" t="str">
        <f t="shared" si="24"/>
        <v>N/A</v>
      </c>
      <c r="AT193" s="23" t="str">
        <f t="shared" si="25"/>
        <v>N/A</v>
      </c>
      <c r="AU193" s="23" t="str">
        <f t="shared" si="26"/>
        <v>N/A</v>
      </c>
      <c r="AV193" s="23"/>
      <c r="AW193" s="23"/>
      <c r="AX193" s="23"/>
      <c r="AZ193" s="324"/>
    </row>
    <row r="194" spans="1:52" ht="18.75" x14ac:dyDescent="0.25">
      <c r="A194" s="1076">
        <v>185</v>
      </c>
      <c r="B194" s="1077" t="s">
        <v>71</v>
      </c>
      <c r="C194" s="1084"/>
      <c r="D194" s="824"/>
      <c r="E194" s="327" t="s">
        <v>58</v>
      </c>
      <c r="F194" s="315"/>
      <c r="G194" s="316"/>
      <c r="H194" s="336"/>
      <c r="I194" s="315"/>
      <c r="J194" s="328"/>
      <c r="K194" s="329"/>
      <c r="L194" s="752"/>
      <c r="M194" s="816"/>
      <c r="N194" s="339"/>
      <c r="O194" s="332"/>
      <c r="P194" s="742"/>
      <c r="Q194" s="753"/>
      <c r="R194" s="754"/>
      <c r="S194" s="755"/>
      <c r="T194" s="319"/>
      <c r="U194" s="339"/>
      <c r="V194" s="338"/>
      <c r="W194" s="742"/>
      <c r="X194" s="328"/>
      <c r="Y194" s="338"/>
      <c r="Z194" s="752"/>
      <c r="AA194" s="133"/>
      <c r="AB194" s="337"/>
      <c r="AC194" s="107">
        <f t="shared" si="21"/>
        <v>1</v>
      </c>
      <c r="AD194" s="275">
        <v>0</v>
      </c>
      <c r="AE194" s="275">
        <v>0</v>
      </c>
      <c r="AF194" s="275">
        <v>0</v>
      </c>
      <c r="AI194" s="70"/>
      <c r="AJ194" s="671" t="s">
        <v>58</v>
      </c>
      <c r="AK194" s="70"/>
      <c r="AL194" s="70"/>
      <c r="AM194" s="70"/>
      <c r="AN194" s="70"/>
      <c r="AO194" s="70"/>
      <c r="AP194" s="70"/>
      <c r="AS194" s="23" t="str">
        <f t="shared" si="24"/>
        <v>N/A</v>
      </c>
      <c r="AT194" s="23" t="str">
        <f t="shared" si="25"/>
        <v>N/A</v>
      </c>
      <c r="AU194" s="23" t="str">
        <f t="shared" si="26"/>
        <v>N/A</v>
      </c>
      <c r="AV194" s="23"/>
      <c r="AW194" s="23"/>
      <c r="AX194" s="23"/>
      <c r="AZ194" s="337"/>
    </row>
    <row r="195" spans="1:52" x14ac:dyDescent="0.25">
      <c r="A195" s="1076">
        <v>186</v>
      </c>
      <c r="B195" s="1077" t="s">
        <v>71</v>
      </c>
      <c r="C195" s="924" t="s">
        <v>185</v>
      </c>
      <c r="D195" s="824" t="s">
        <v>185</v>
      </c>
      <c r="E195" s="860" t="str">
        <f>VLOOKUP(D195,Poeng!$B$10:$R$252,Poeng!E$1,FALSE)</f>
        <v>POL 01 Impacts of refrigerants</v>
      </c>
      <c r="F195" s="865">
        <f>VLOOKUP(D195,Poeng!$B$10:$AB$252,Poeng!AB$1,FALSE)</f>
        <v>3</v>
      </c>
      <c r="G195" s="1000"/>
      <c r="H195" s="866" t="str">
        <f>VLOOKUP(D195,Poeng!$B$10:$AI$252,Poeng!AI$1,FALSE)&amp;" c. "&amp;ROUND(VLOOKUP(D195,Poeng!$B$10:$AE$252,Poeng!AE$1,FALSE)*100,1)&amp;" %"</f>
        <v>0 c. 0 %</v>
      </c>
      <c r="I195" s="923" t="str">
        <f>VLOOKUP(D195,Poeng!$B$10:$BE$252,Poeng!BE$1,FALSE)</f>
        <v>N/A</v>
      </c>
      <c r="J195" s="874"/>
      <c r="K195" s="875"/>
      <c r="L195" s="876"/>
      <c r="M195" s="815"/>
      <c r="N195" s="1001"/>
      <c r="O195" s="1093" t="str">
        <f>VLOOKUP(D195,Poeng!$B$10:$BC$252,Poeng!AJ$1,FALSE)&amp;" c. "&amp;ROUND(VLOOKUP(D195,Poeng!$B$10:$BC$252,Poeng!AF$1,FALSE)*100,1)&amp;" %"</f>
        <v>0 c. 0 %</v>
      </c>
      <c r="P195" s="123" t="str">
        <f>VLOOKUP(D195,Poeng!$B$10:$BH$252,Poeng!BH$1,FALSE)</f>
        <v>N/A</v>
      </c>
      <c r="Q195" s="744"/>
      <c r="R195" s="745"/>
      <c r="S195" s="738"/>
      <c r="T195" s="319"/>
      <c r="U195" s="1001"/>
      <c r="V195" s="877" t="str">
        <f>VLOOKUP(D195,Poeng!$B$10:$BC$252,Poeng!AK$1,FALSE)&amp;" c. "&amp;ROUND(VLOOKUP(D195,Poeng!$B$10:$BC$252,Poeng!AG$1,FALSE)*100,1)&amp;" %"</f>
        <v>0 c. 0 %</v>
      </c>
      <c r="W195" s="123" t="str">
        <f>VLOOKUP(D195,Poeng!$B$10:$BK$252,Poeng!BK$1,FALSE)</f>
        <v>N/A</v>
      </c>
      <c r="X195" s="81"/>
      <c r="Y195" s="80"/>
      <c r="Z195" s="738"/>
      <c r="AA195" s="133"/>
      <c r="AB195" s="640" t="s">
        <v>13</v>
      </c>
      <c r="AC195" s="107">
        <f t="shared" si="21"/>
        <v>1</v>
      </c>
      <c r="AD195" s="3" t="e">
        <f>VLOOKUP(K195,'Assessment Details'!$O$45:$P$48,2,FALSE)</f>
        <v>#N/A</v>
      </c>
      <c r="AE195" s="3" t="e">
        <f>VLOOKUP(R195,'Assessment Details'!$O$45:$P$48,2,FALSE)</f>
        <v>#N/A</v>
      </c>
      <c r="AF195" s="3" t="e">
        <f>VLOOKUP(Y195,'Assessment Details'!$O$45:$P$48,2,FALSE)</f>
        <v>#N/A</v>
      </c>
      <c r="AI195" s="70" t="str">
        <f>ais_ja</f>
        <v>Ja</v>
      </c>
      <c r="AJ195" s="671" t="s">
        <v>164</v>
      </c>
      <c r="AK195" s="648" t="s">
        <v>406</v>
      </c>
      <c r="AL195" s="648" t="s">
        <v>410</v>
      </c>
      <c r="AM195" s="648" t="s">
        <v>408</v>
      </c>
      <c r="AN195" s="654" t="s">
        <v>411</v>
      </c>
      <c r="AO195" s="70"/>
      <c r="AP195" s="70"/>
      <c r="AR195" s="1" t="s">
        <v>13</v>
      </c>
      <c r="AS195" s="23" t="str">
        <f t="shared" si="24"/>
        <v>N/A</v>
      </c>
      <c r="AT195" s="23" t="str">
        <f t="shared" si="25"/>
        <v>N/A</v>
      </c>
      <c r="AU195" s="23" t="str">
        <f t="shared" si="26"/>
        <v>N/A</v>
      </c>
      <c r="AV195" s="23" t="str">
        <f t="shared" si="26"/>
        <v>N/A</v>
      </c>
      <c r="AW195" s="23"/>
      <c r="AX195" s="23"/>
      <c r="AZ195" s="640"/>
    </row>
    <row r="196" spans="1:52" x14ac:dyDescent="0.25">
      <c r="A196" s="1076">
        <v>187</v>
      </c>
      <c r="B196" s="1077" t="s">
        <v>71</v>
      </c>
      <c r="C196" s="1082" t="str">
        <f t="shared" si="19"/>
        <v>POL 01</v>
      </c>
      <c r="D196" s="824" t="s">
        <v>816</v>
      </c>
      <c r="E196" s="861" t="str">
        <f>VLOOKUP(D196,Poeng!$B$10:$R$252,Poeng!E$1,FALSE)</f>
        <v>No refrigerants in the building</v>
      </c>
      <c r="F196" s="122">
        <f>VLOOKUP(D196,Poeng!$B$10:$AB$252,Poeng!AB$1,FALSE)</f>
        <v>3</v>
      </c>
      <c r="G196" s="43"/>
      <c r="H196" s="123">
        <f>VLOOKUP(D196,Poeng!$B$10:$AE$252,Poeng!AE$1,FALSE)</f>
        <v>0</v>
      </c>
      <c r="I196" s="124" t="str">
        <f>VLOOKUP(D196,Poeng!$B$10:$BE$252,Poeng!BE$1,FALSE)</f>
        <v>N/A</v>
      </c>
      <c r="J196" s="80"/>
      <c r="K196" s="281"/>
      <c r="L196" s="796"/>
      <c r="M196" s="816"/>
      <c r="N196" s="83"/>
      <c r="O196" s="123">
        <f>VLOOKUP(D196,Poeng!$B$10:$BC$252,Poeng!AF$1,FALSE)</f>
        <v>0</v>
      </c>
      <c r="P196" s="123" t="str">
        <f>VLOOKUP(D196,Poeng!$B$10:$BH$252,Poeng!BH$1,FALSE)</f>
        <v>N/A</v>
      </c>
      <c r="Q196" s="744"/>
      <c r="R196" s="745"/>
      <c r="S196" s="738"/>
      <c r="T196" s="319"/>
      <c r="U196" s="83"/>
      <c r="V196" s="123">
        <f>VLOOKUP(D196,Poeng!$B$10:$BC$252,Poeng!AG$1,FALSE)</f>
        <v>0</v>
      </c>
      <c r="W196" s="123" t="str">
        <f>VLOOKUP(D196,Poeng!$B$10:$BK$252,Poeng!BK$1,FALSE)</f>
        <v>N/A</v>
      </c>
      <c r="X196" s="81"/>
      <c r="Y196" s="80"/>
      <c r="Z196" s="738"/>
      <c r="AA196" s="133"/>
      <c r="AB196" s="640"/>
      <c r="AC196" s="107">
        <f t="shared" si="21"/>
        <v>1</v>
      </c>
      <c r="AD196" s="3" t="e">
        <f>VLOOKUP(K196,'Assessment Details'!$O$45:$P$48,2,FALSE)</f>
        <v>#N/A</v>
      </c>
      <c r="AE196" s="3" t="e">
        <f>VLOOKUP(R196,'Assessment Details'!$O$45:$P$48,2,FALSE)</f>
        <v>#N/A</v>
      </c>
      <c r="AF196" s="3" t="e">
        <f>VLOOKUP(Y196,'Assessment Details'!$O$45:$P$48,2,FALSE)</f>
        <v>#N/A</v>
      </c>
      <c r="AI196" s="70"/>
      <c r="AJ196" s="671"/>
      <c r="AK196" s="648"/>
      <c r="AL196" s="648"/>
      <c r="AM196" s="648"/>
      <c r="AN196" s="654"/>
      <c r="AO196" s="70"/>
      <c r="AP196" s="70"/>
      <c r="AS196" s="23"/>
      <c r="AT196" s="23"/>
      <c r="AU196" s="23"/>
      <c r="AV196" s="23"/>
      <c r="AW196" s="23"/>
      <c r="AX196" s="23"/>
      <c r="AZ196" s="640"/>
    </row>
    <row r="197" spans="1:52" x14ac:dyDescent="0.25">
      <c r="A197" s="1076">
        <v>188</v>
      </c>
      <c r="B197" s="1077" t="s">
        <v>71</v>
      </c>
      <c r="C197" s="1082" t="str">
        <f t="shared" si="19"/>
        <v>POL 01</v>
      </c>
      <c r="D197" s="824" t="s">
        <v>817</v>
      </c>
      <c r="E197" s="861" t="str">
        <f>VLOOKUP(D197,Poeng!$B$10:$R$252,Poeng!E$1,FALSE)</f>
        <v>Pre-requisite: impact of refrigerants</v>
      </c>
      <c r="F197" s="122">
        <f>VLOOKUP(D197,Poeng!$B$10:$AB$252,Poeng!AB$1,FALSE)</f>
        <v>0</v>
      </c>
      <c r="G197" s="43"/>
      <c r="H197" s="123" t="str">
        <f>VLOOKUP(D197,Poeng!$B$10:$AE$252,Poeng!AE$1,FALSE)</f>
        <v>-</v>
      </c>
      <c r="I197" s="124" t="str">
        <f>VLOOKUP(D197,Poeng!$B$10:$BE$252,Poeng!BE$1,FALSE)</f>
        <v>N/A</v>
      </c>
      <c r="J197" s="80"/>
      <c r="K197" s="281"/>
      <c r="L197" s="796"/>
      <c r="M197" s="816"/>
      <c r="N197" s="83"/>
      <c r="O197" s="123" t="str">
        <f>VLOOKUP(D197,Poeng!$B$10:$BC$252,Poeng!AF$1,FALSE)</f>
        <v>-</v>
      </c>
      <c r="P197" s="123" t="str">
        <f>VLOOKUP(D197,Poeng!$B$10:$BH$252,Poeng!BH$1,FALSE)</f>
        <v>N/A</v>
      </c>
      <c r="Q197" s="744"/>
      <c r="R197" s="745"/>
      <c r="S197" s="738"/>
      <c r="T197" s="319"/>
      <c r="U197" s="83"/>
      <c r="V197" s="123" t="str">
        <f>VLOOKUP(D197,Poeng!$B$10:$BC$252,Poeng!AG$1,FALSE)</f>
        <v>-</v>
      </c>
      <c r="W197" s="123" t="str">
        <f>VLOOKUP(D197,Poeng!$B$10:$BK$252,Poeng!BK$1,FALSE)</f>
        <v>N/A</v>
      </c>
      <c r="X197" s="81"/>
      <c r="Y197" s="80"/>
      <c r="Z197" s="738"/>
      <c r="AA197" s="133"/>
      <c r="AB197" s="640"/>
      <c r="AC197" s="107">
        <f t="shared" si="21"/>
        <v>2</v>
      </c>
      <c r="AD197" s="3" t="e">
        <f>VLOOKUP(K197,'Assessment Details'!$O$45:$P$48,2,FALSE)</f>
        <v>#N/A</v>
      </c>
      <c r="AE197" s="3" t="e">
        <f>VLOOKUP(R197,'Assessment Details'!$O$45:$P$48,2,FALSE)</f>
        <v>#N/A</v>
      </c>
      <c r="AF197" s="3" t="e">
        <f>VLOOKUP(Y197,'Assessment Details'!$O$45:$P$48,2,FALSE)</f>
        <v>#N/A</v>
      </c>
      <c r="AI197" s="70"/>
      <c r="AJ197" s="671"/>
      <c r="AK197" s="648"/>
      <c r="AL197" s="648"/>
      <c r="AM197" s="648"/>
      <c r="AN197" s="654"/>
      <c r="AO197" s="70"/>
      <c r="AP197" s="70"/>
      <c r="AS197" s="23"/>
      <c r="AT197" s="23"/>
      <c r="AU197" s="23"/>
      <c r="AV197" s="23"/>
      <c r="AW197" s="23"/>
      <c r="AX197" s="23"/>
      <c r="AZ197" s="640"/>
    </row>
    <row r="198" spans="1:52" x14ac:dyDescent="0.25">
      <c r="A198" s="1076">
        <v>189</v>
      </c>
      <c r="B198" s="1077" t="s">
        <v>71</v>
      </c>
      <c r="C198" s="1082" t="str">
        <f t="shared" si="19"/>
        <v>POL 01</v>
      </c>
      <c r="D198" s="824" t="s">
        <v>818</v>
      </c>
      <c r="E198" s="861" t="str">
        <f>VLOOKUP(D198,Poeng!$B$10:$R$252,Poeng!E$1,FALSE)</f>
        <v>Impact of refrigerants</v>
      </c>
      <c r="F198" s="122">
        <f>VLOOKUP(D198,Poeng!$B$10:$AB$252,Poeng!AB$1,FALSE)</f>
        <v>0</v>
      </c>
      <c r="G198" s="43"/>
      <c r="H198" s="123">
        <f>VLOOKUP(D198,Poeng!$B$10:$AE$252,Poeng!AE$1,FALSE)</f>
        <v>0</v>
      </c>
      <c r="I198" s="124" t="str">
        <f>VLOOKUP(D198,Poeng!$B$10:$BE$252,Poeng!BE$1,FALSE)</f>
        <v>N/A</v>
      </c>
      <c r="J198" s="80"/>
      <c r="K198" s="281"/>
      <c r="L198" s="796"/>
      <c r="M198" s="816"/>
      <c r="N198" s="83"/>
      <c r="O198" s="123">
        <f>VLOOKUP(D198,Poeng!$B$10:$BC$252,Poeng!AF$1,FALSE)</f>
        <v>0</v>
      </c>
      <c r="P198" s="123" t="str">
        <f>VLOOKUP(D198,Poeng!$B$10:$BH$252,Poeng!BH$1,FALSE)</f>
        <v>N/A</v>
      </c>
      <c r="Q198" s="744"/>
      <c r="R198" s="745"/>
      <c r="S198" s="738"/>
      <c r="T198" s="319"/>
      <c r="U198" s="83"/>
      <c r="V198" s="123">
        <f>VLOOKUP(D198,Poeng!$B$10:$BC$252,Poeng!AG$1,FALSE)</f>
        <v>0</v>
      </c>
      <c r="W198" s="123" t="str">
        <f>VLOOKUP(D198,Poeng!$B$10:$BK$252,Poeng!BK$1,FALSE)</f>
        <v>N/A</v>
      </c>
      <c r="X198" s="81"/>
      <c r="Y198" s="80"/>
      <c r="Z198" s="738"/>
      <c r="AA198" s="133"/>
      <c r="AB198" s="640"/>
      <c r="AC198" s="107">
        <f t="shared" si="21"/>
        <v>2</v>
      </c>
      <c r="AD198" s="3" t="e">
        <f>VLOOKUP(K198,'Assessment Details'!$O$45:$P$48,2,FALSE)</f>
        <v>#N/A</v>
      </c>
      <c r="AE198" s="3" t="e">
        <f>VLOOKUP(R198,'Assessment Details'!$O$45:$P$48,2,FALSE)</f>
        <v>#N/A</v>
      </c>
      <c r="AF198" s="3" t="e">
        <f>VLOOKUP(Y198,'Assessment Details'!$O$45:$P$48,2,FALSE)</f>
        <v>#N/A</v>
      </c>
      <c r="AI198" s="70"/>
      <c r="AJ198" s="671"/>
      <c r="AK198" s="648"/>
      <c r="AL198" s="648"/>
      <c r="AM198" s="648"/>
      <c r="AN198" s="654"/>
      <c r="AO198" s="70"/>
      <c r="AP198" s="70"/>
      <c r="AS198" s="23"/>
      <c r="AT198" s="23"/>
      <c r="AU198" s="23"/>
      <c r="AV198" s="23"/>
      <c r="AW198" s="23"/>
      <c r="AX198" s="23"/>
      <c r="AZ198" s="640"/>
    </row>
    <row r="199" spans="1:52" x14ac:dyDescent="0.25">
      <c r="A199" s="1076">
        <v>190</v>
      </c>
      <c r="B199" s="1077" t="s">
        <v>71</v>
      </c>
      <c r="C199" s="1082" t="str">
        <f>C197</f>
        <v>POL 01</v>
      </c>
      <c r="D199" s="824" t="s">
        <v>897</v>
      </c>
      <c r="E199" s="861" t="str">
        <f>VLOOKUP(D199,Poeng!$B$10:$R$252,Poeng!E$1,FALSE)</f>
        <v>Leak detection</v>
      </c>
      <c r="F199" s="122">
        <f>VLOOKUP(D199,Poeng!$B$10:$AB$252,Poeng!AB$1,FALSE)</f>
        <v>0</v>
      </c>
      <c r="G199" s="43"/>
      <c r="H199" s="123">
        <f>VLOOKUP(D199,Poeng!$B$10:$AE$252,Poeng!AE$1,FALSE)</f>
        <v>0</v>
      </c>
      <c r="I199" s="124" t="str">
        <f>VLOOKUP(D199,Poeng!$B$10:$BE$252,Poeng!BE$1,FALSE)</f>
        <v>N/A</v>
      </c>
      <c r="J199" s="80"/>
      <c r="K199" s="281"/>
      <c r="L199" s="796"/>
      <c r="M199" s="816"/>
      <c r="N199" s="83"/>
      <c r="O199" s="123">
        <f>VLOOKUP(D199,Poeng!$B$10:$BC$252,Poeng!AF$1,FALSE)</f>
        <v>0</v>
      </c>
      <c r="P199" s="123" t="str">
        <f>VLOOKUP(D199,Poeng!$B$10:$BH$252,Poeng!BH$1,FALSE)</f>
        <v>N/A</v>
      </c>
      <c r="Q199" s="744"/>
      <c r="R199" s="745"/>
      <c r="S199" s="738"/>
      <c r="T199" s="319"/>
      <c r="U199" s="83"/>
      <c r="V199" s="123">
        <f>VLOOKUP(D199,Poeng!$B$10:$BC$252,Poeng!AG$1,FALSE)</f>
        <v>0</v>
      </c>
      <c r="W199" s="123" t="str">
        <f>VLOOKUP(D199,Poeng!$B$10:$BK$252,Poeng!BK$1,FALSE)</f>
        <v>N/A</v>
      </c>
      <c r="X199" s="81"/>
      <c r="Y199" s="80"/>
      <c r="Z199" s="738"/>
      <c r="AA199" s="133"/>
      <c r="AB199" s="640"/>
      <c r="AC199" s="107">
        <f t="shared" si="21"/>
        <v>2</v>
      </c>
      <c r="AD199" s="3" t="e">
        <f>VLOOKUP(K199,'Assessment Details'!$O$45:$P$48,2,FALSE)</f>
        <v>#N/A</v>
      </c>
      <c r="AE199" s="3" t="e">
        <f>VLOOKUP(R199,'Assessment Details'!$O$45:$P$48,2,FALSE)</f>
        <v>#N/A</v>
      </c>
      <c r="AF199" s="3" t="e">
        <f>VLOOKUP(Y199,'Assessment Details'!$O$45:$P$48,2,FALSE)</f>
        <v>#N/A</v>
      </c>
      <c r="AI199" s="70"/>
      <c r="AJ199" s="671"/>
      <c r="AK199" s="648"/>
      <c r="AL199" s="648"/>
      <c r="AM199" s="648"/>
      <c r="AN199" s="654"/>
      <c r="AO199" s="70"/>
      <c r="AP199" s="70"/>
      <c r="AS199" s="23"/>
      <c r="AT199" s="23"/>
      <c r="AU199" s="23"/>
      <c r="AV199" s="23"/>
      <c r="AW199" s="23"/>
      <c r="AX199" s="23"/>
      <c r="AZ199" s="640"/>
    </row>
    <row r="200" spans="1:52" x14ac:dyDescent="0.25">
      <c r="A200" s="1076">
        <v>191</v>
      </c>
      <c r="B200" s="1077" t="s">
        <v>71</v>
      </c>
      <c r="C200" s="924" t="s">
        <v>186</v>
      </c>
      <c r="D200" s="824" t="s">
        <v>186</v>
      </c>
      <c r="E200" s="860" t="str">
        <f>VLOOKUP(D200,Poeng!$B$10:$R$252,Poeng!E$1,FALSE)</f>
        <v>POL 02 Local air quality</v>
      </c>
      <c r="F200" s="865">
        <f>VLOOKUP(D200,Poeng!$B$10:$AB$252,Poeng!AB$1,FALSE)</f>
        <v>2</v>
      </c>
      <c r="G200" s="1001"/>
      <c r="H200" s="866" t="str">
        <f>VLOOKUP(D200,Poeng!$B$10:$AI$252,Poeng!AI$1,FALSE)&amp;" c. "&amp;ROUND(VLOOKUP(D200,Poeng!$B$10:$AE$252,Poeng!AE$1,FALSE)*100,1)&amp;" %"</f>
        <v>0 c. 0 %</v>
      </c>
      <c r="I200" s="924" t="str">
        <f>VLOOKUP(D200,Poeng!$B$10:$BE$252,Poeng!BE$1,FALSE)</f>
        <v>N/A</v>
      </c>
      <c r="J200" s="80"/>
      <c r="K200" s="281"/>
      <c r="L200" s="796"/>
      <c r="M200" s="816"/>
      <c r="N200" s="1001"/>
      <c r="O200" s="877" t="str">
        <f>VLOOKUP(D200,Poeng!$B$10:$BC$252,Poeng!AJ$1,FALSE)&amp;" c. "&amp;ROUND(VLOOKUP(D200,Poeng!$B$10:$BC$252,Poeng!AF$1,FALSE)*100,1)&amp;" %"</f>
        <v>0 c. 0 %</v>
      </c>
      <c r="P200" s="123" t="str">
        <f>VLOOKUP(D200,Poeng!$B$10:$BH$252,Poeng!BH$1,FALSE)</f>
        <v>N/A</v>
      </c>
      <c r="Q200" s="744"/>
      <c r="R200" s="745"/>
      <c r="S200" s="738"/>
      <c r="T200" s="319"/>
      <c r="U200" s="1001"/>
      <c r="V200" s="877" t="str">
        <f>VLOOKUP(D200,Poeng!$B$10:$BC$252,Poeng!AK$1,FALSE)&amp;" c. "&amp;ROUND(VLOOKUP(D200,Poeng!$B$10:$BC$252,Poeng!AG$1,FALSE)*100,1)&amp;" %"</f>
        <v>0 c. 0 %</v>
      </c>
      <c r="W200" s="123" t="str">
        <f>VLOOKUP(D200,Poeng!$B$10:$BK$252,Poeng!BK$1,FALSE)</f>
        <v>N/A</v>
      </c>
      <c r="X200" s="81"/>
      <c r="Y200" s="80"/>
      <c r="Z200" s="738"/>
      <c r="AA200" s="133"/>
      <c r="AB200" s="640" t="s">
        <v>13</v>
      </c>
      <c r="AC200" s="107">
        <f t="shared" si="21"/>
        <v>1</v>
      </c>
      <c r="AD200" s="3" t="e">
        <f>VLOOKUP(K200,'Assessment Details'!$O$45:$P$48,2,FALSE)</f>
        <v>#N/A</v>
      </c>
      <c r="AE200" s="3" t="e">
        <f>VLOOKUP(R200,'Assessment Details'!$O$45:$P$48,2,FALSE)</f>
        <v>#N/A</v>
      </c>
      <c r="AF200" s="3" t="e">
        <f>VLOOKUP(Y200,'Assessment Details'!$O$45:$P$48,2,FALSE)</f>
        <v>#N/A</v>
      </c>
      <c r="AI200" s="70" t="str">
        <f>ais_ja</f>
        <v>Ja</v>
      </c>
      <c r="AJ200" s="671" t="s">
        <v>397</v>
      </c>
      <c r="AK200" s="648" t="s">
        <v>406</v>
      </c>
      <c r="AL200" s="648" t="s">
        <v>410</v>
      </c>
      <c r="AM200" s="648" t="s">
        <v>408</v>
      </c>
      <c r="AN200" s="70"/>
      <c r="AO200" s="70"/>
      <c r="AP200" s="70"/>
      <c r="AR200" s="1" t="s">
        <v>13</v>
      </c>
      <c r="AS200" s="23" t="str">
        <f t="shared" si="24"/>
        <v>N/A</v>
      </c>
      <c r="AT200" s="23" t="str">
        <f t="shared" si="25"/>
        <v>N/A</v>
      </c>
      <c r="AU200" s="23" t="str">
        <f t="shared" si="26"/>
        <v>N/A</v>
      </c>
      <c r="AV200" s="23"/>
      <c r="AW200" s="23"/>
      <c r="AX200" s="23"/>
      <c r="AZ200" s="640"/>
    </row>
    <row r="201" spans="1:52" x14ac:dyDescent="0.25">
      <c r="A201" s="1076">
        <v>192</v>
      </c>
      <c r="B201" s="1077" t="s">
        <v>71</v>
      </c>
      <c r="C201" s="1082" t="str">
        <f t="shared" si="19"/>
        <v>POL 02</v>
      </c>
      <c r="D201" s="824" t="s">
        <v>819</v>
      </c>
      <c r="E201" s="861" t="str">
        <f>VLOOKUP(D201,Poeng!$B$10:$R$252,Poeng!E$1,FALSE)</f>
        <v>Non-combustion heating and hot water system</v>
      </c>
      <c r="F201" s="122">
        <f>VLOOKUP(D201,Poeng!$B$10:$AB$252,Poeng!AB$1,FALSE)</f>
        <v>2</v>
      </c>
      <c r="G201" s="43"/>
      <c r="H201" s="123">
        <f>VLOOKUP(D201,Poeng!$B$10:$AE$252,Poeng!AE$1,FALSE)</f>
        <v>0</v>
      </c>
      <c r="I201" s="124" t="str">
        <f>VLOOKUP(D201,Poeng!$B$10:$BE$252,Poeng!BE$1,FALSE)</f>
        <v>N/A</v>
      </c>
      <c r="J201" s="80"/>
      <c r="K201" s="281"/>
      <c r="L201" s="796"/>
      <c r="M201" s="816"/>
      <c r="N201" s="83"/>
      <c r="O201" s="123">
        <f>VLOOKUP(D201,Poeng!$B$10:$BC$252,Poeng!AF$1,FALSE)</f>
        <v>0</v>
      </c>
      <c r="P201" s="123" t="str">
        <f>VLOOKUP(D201,Poeng!$B$10:$BH$252,Poeng!BH$1,FALSE)</f>
        <v>N/A</v>
      </c>
      <c r="Q201" s="744"/>
      <c r="R201" s="745"/>
      <c r="S201" s="738"/>
      <c r="T201" s="319"/>
      <c r="U201" s="83"/>
      <c r="V201" s="123">
        <f>VLOOKUP(D201,Poeng!$B$10:$BC$252,Poeng!AG$1,FALSE)</f>
        <v>0</v>
      </c>
      <c r="W201" s="123" t="str">
        <f>VLOOKUP(D201,Poeng!$B$10:$BK$252,Poeng!BK$1,FALSE)</f>
        <v>N/A</v>
      </c>
      <c r="X201" s="81"/>
      <c r="Y201" s="80"/>
      <c r="Z201" s="738"/>
      <c r="AA201" s="133"/>
      <c r="AB201" s="640"/>
      <c r="AC201" s="107">
        <f t="shared" si="21"/>
        <v>1</v>
      </c>
      <c r="AD201" s="3" t="e">
        <f>VLOOKUP(K201,'Assessment Details'!$O$45:$P$48,2,FALSE)</f>
        <v>#N/A</v>
      </c>
      <c r="AE201" s="3" t="e">
        <f>VLOOKUP(R201,'Assessment Details'!$O$45:$P$48,2,FALSE)</f>
        <v>#N/A</v>
      </c>
      <c r="AF201" s="3" t="e">
        <f>VLOOKUP(Y201,'Assessment Details'!$O$45:$P$48,2,FALSE)</f>
        <v>#N/A</v>
      </c>
      <c r="AI201" s="70"/>
      <c r="AJ201" s="671"/>
      <c r="AK201" s="648"/>
      <c r="AL201" s="648"/>
      <c r="AM201" s="648"/>
      <c r="AN201" s="70"/>
      <c r="AO201" s="70"/>
      <c r="AP201" s="70"/>
      <c r="AS201" s="23"/>
      <c r="AT201" s="23"/>
      <c r="AU201" s="23"/>
      <c r="AV201" s="23"/>
      <c r="AW201" s="23"/>
      <c r="AX201" s="23"/>
      <c r="AZ201" s="640"/>
    </row>
    <row r="202" spans="1:52" x14ac:dyDescent="0.25">
      <c r="A202" s="1076">
        <v>193</v>
      </c>
      <c r="B202" s="1077" t="s">
        <v>71</v>
      </c>
      <c r="C202" s="1082" t="str">
        <f t="shared" si="19"/>
        <v>POL 02</v>
      </c>
      <c r="D202" s="824" t="s">
        <v>820</v>
      </c>
      <c r="E202" s="861" t="str">
        <f>VLOOKUP(D202,Poeng!$B$10:$R$252,Poeng!E$1,FALSE)</f>
        <v>Combustion-powered heating and hot water</v>
      </c>
      <c r="F202" s="122">
        <f>VLOOKUP(D202,Poeng!$B$10:$AB$252,Poeng!AB$1,FALSE)</f>
        <v>0</v>
      </c>
      <c r="G202" s="43"/>
      <c r="H202" s="123">
        <f>VLOOKUP(D202,Poeng!$B$10:$AE$252,Poeng!AE$1,FALSE)</f>
        <v>0</v>
      </c>
      <c r="I202" s="124" t="str">
        <f>VLOOKUP(D202,Poeng!$B$10:$BE$252,Poeng!BE$1,FALSE)</f>
        <v>N/A</v>
      </c>
      <c r="J202" s="80"/>
      <c r="K202" s="281"/>
      <c r="L202" s="796"/>
      <c r="M202" s="816"/>
      <c r="N202" s="83"/>
      <c r="O202" s="123">
        <f>VLOOKUP(D202,Poeng!$B$10:$BC$252,Poeng!AF$1,FALSE)</f>
        <v>0</v>
      </c>
      <c r="P202" s="123" t="str">
        <f>VLOOKUP(D202,Poeng!$B$10:$BH$252,Poeng!BH$1,FALSE)</f>
        <v>N/A</v>
      </c>
      <c r="Q202" s="744"/>
      <c r="R202" s="745"/>
      <c r="S202" s="738"/>
      <c r="T202" s="319"/>
      <c r="U202" s="83"/>
      <c r="V202" s="123">
        <f>VLOOKUP(D202,Poeng!$B$10:$BC$252,Poeng!AG$1,FALSE)</f>
        <v>0</v>
      </c>
      <c r="W202" s="123" t="str">
        <f>VLOOKUP(D202,Poeng!$B$10:$BK$252,Poeng!BK$1,FALSE)</f>
        <v>N/A</v>
      </c>
      <c r="X202" s="81"/>
      <c r="Y202" s="80"/>
      <c r="Z202" s="738"/>
      <c r="AA202" s="133"/>
      <c r="AB202" s="640"/>
      <c r="AC202" s="107">
        <f t="shared" si="21"/>
        <v>2</v>
      </c>
      <c r="AD202" s="3" t="e">
        <f>VLOOKUP(K202,'Assessment Details'!$O$45:$P$48,2,FALSE)</f>
        <v>#N/A</v>
      </c>
      <c r="AE202" s="3" t="e">
        <f>VLOOKUP(R202,'Assessment Details'!$O$45:$P$48,2,FALSE)</f>
        <v>#N/A</v>
      </c>
      <c r="AF202" s="3" t="e">
        <f>VLOOKUP(Y202,'Assessment Details'!$O$45:$P$48,2,FALSE)</f>
        <v>#N/A</v>
      </c>
      <c r="AI202" s="70"/>
      <c r="AJ202" s="671"/>
      <c r="AK202" s="648"/>
      <c r="AL202" s="648"/>
      <c r="AM202" s="648"/>
      <c r="AN202" s="70"/>
      <c r="AO202" s="70"/>
      <c r="AP202" s="70"/>
      <c r="AS202" s="23"/>
      <c r="AT202" s="23"/>
      <c r="AU202" s="23"/>
      <c r="AV202" s="23"/>
      <c r="AW202" s="23"/>
      <c r="AX202" s="23"/>
      <c r="AZ202" s="640"/>
    </row>
    <row r="203" spans="1:52" x14ac:dyDescent="0.25">
      <c r="A203" s="1076">
        <v>194</v>
      </c>
      <c r="B203" s="1077" t="s">
        <v>71</v>
      </c>
      <c r="C203" s="924" t="s">
        <v>188</v>
      </c>
      <c r="D203" s="824" t="s">
        <v>188</v>
      </c>
      <c r="E203" s="860" t="str">
        <f>VLOOKUP(D203,Poeng!$B$10:$R$252,Poeng!E$1,FALSE)</f>
        <v>POL 04 Reduction of night time light pollution</v>
      </c>
      <c r="F203" s="865">
        <f>VLOOKUP(D203,Poeng!$B$10:$AB$252,Poeng!AB$1,FALSE)</f>
        <v>1</v>
      </c>
      <c r="G203" s="1001"/>
      <c r="H203" s="866" t="str">
        <f>VLOOKUP(D203,Poeng!$B$10:$AI$252,Poeng!AI$1,FALSE)&amp;" c. "&amp;ROUND(VLOOKUP(D203,Poeng!$B$10:$AE$252,Poeng!AE$1,FALSE)*100,1)&amp;" %"</f>
        <v>0 c. 0 %</v>
      </c>
      <c r="I203" s="924" t="str">
        <f>VLOOKUP(D203,Poeng!$B$10:$BE$252,Poeng!BE$1,FALSE)</f>
        <v>N/A</v>
      </c>
      <c r="J203" s="80"/>
      <c r="K203" s="281"/>
      <c r="L203" s="796"/>
      <c r="M203" s="816"/>
      <c r="N203" s="1001"/>
      <c r="O203" s="877" t="str">
        <f>VLOOKUP(D203,Poeng!$B$10:$BC$252,Poeng!AJ$1,FALSE)&amp;" c. "&amp;ROUND(VLOOKUP(D203,Poeng!$B$10:$BC$252,Poeng!AF$1,FALSE)*100,1)&amp;" %"</f>
        <v>0 c. 0 %</v>
      </c>
      <c r="P203" s="123" t="str">
        <f>VLOOKUP(D203,Poeng!$B$10:$BH$252,Poeng!BH$1,FALSE)</f>
        <v>N/A</v>
      </c>
      <c r="Q203" s="744"/>
      <c r="R203" s="745"/>
      <c r="S203" s="738"/>
      <c r="T203" s="319"/>
      <c r="U203" s="1001"/>
      <c r="V203" s="877" t="str">
        <f>VLOOKUP(D203,Poeng!$B$10:$BC$252,Poeng!AK$1,FALSE)&amp;" c. "&amp;ROUND(VLOOKUP(D203,Poeng!$B$10:$BC$252,Poeng!AG$1,FALSE)*100,1)&amp;" %"</f>
        <v>0 c. 0 %</v>
      </c>
      <c r="W203" s="123" t="str">
        <f>VLOOKUP(D203,Poeng!$B$10:$BK$252,Poeng!BK$1,FALSE)</f>
        <v>N/A</v>
      </c>
      <c r="X203" s="81"/>
      <c r="Y203" s="80"/>
      <c r="Z203" s="738"/>
      <c r="AA203" s="133"/>
      <c r="AB203" s="640" t="s">
        <v>13</v>
      </c>
      <c r="AC203" s="107">
        <f t="shared" si="21"/>
        <v>1</v>
      </c>
      <c r="AD203" s="3" t="e">
        <f>VLOOKUP(K203,'Assessment Details'!$O$45:$P$48,2,FALSE)</f>
        <v>#N/A</v>
      </c>
      <c r="AE203" s="3" t="e">
        <f>VLOOKUP(R203,'Assessment Details'!$O$45:$P$48,2,FALSE)</f>
        <v>#N/A</v>
      </c>
      <c r="AF203" s="3" t="e">
        <f>VLOOKUP(Y203,'Assessment Details'!$O$45:$P$48,2,FALSE)</f>
        <v>#N/A</v>
      </c>
      <c r="AI203" s="70" t="str">
        <f>ais_ja</f>
        <v>Ja</v>
      </c>
      <c r="AJ203" s="671" t="s">
        <v>165</v>
      </c>
      <c r="AK203" s="648" t="s">
        <v>406</v>
      </c>
      <c r="AL203" s="648" t="s">
        <v>410</v>
      </c>
      <c r="AM203" s="648" t="s">
        <v>408</v>
      </c>
      <c r="AN203" s="70"/>
      <c r="AO203" s="70"/>
      <c r="AP203" s="70"/>
      <c r="AR203" s="1" t="s">
        <v>13</v>
      </c>
      <c r="AS203" s="23" t="str">
        <f t="shared" si="24"/>
        <v>N/A</v>
      </c>
      <c r="AT203" s="23" t="str">
        <f t="shared" si="25"/>
        <v>N/A</v>
      </c>
      <c r="AU203" s="23" t="str">
        <f t="shared" si="26"/>
        <v>N/A</v>
      </c>
      <c r="AV203" s="23"/>
      <c r="AW203" s="23"/>
      <c r="AX203" s="23"/>
      <c r="AZ203" s="640"/>
    </row>
    <row r="204" spans="1:52" x14ac:dyDescent="0.25">
      <c r="A204" s="1076">
        <v>195</v>
      </c>
      <c r="B204" s="1077" t="s">
        <v>71</v>
      </c>
      <c r="C204" s="1082" t="str">
        <f t="shared" si="19"/>
        <v>POL 04</v>
      </c>
      <c r="D204" s="824" t="s">
        <v>821</v>
      </c>
      <c r="E204" s="861" t="str">
        <f>VLOOKUP(D204,Poeng!$B$10:$R$252,Poeng!E$1,FALSE)</f>
        <v xml:space="preserve">No external lighting pollution </v>
      </c>
      <c r="F204" s="122">
        <f>VLOOKUP(D204,Poeng!$B$10:$AB$252,Poeng!AB$1,FALSE)</f>
        <v>1</v>
      </c>
      <c r="G204" s="43"/>
      <c r="H204" s="123">
        <f>VLOOKUP(D204,Poeng!$B$10:$AE$252,Poeng!AE$1,FALSE)</f>
        <v>0</v>
      </c>
      <c r="I204" s="124" t="str">
        <f>VLOOKUP(D204,Poeng!$B$10:$BE$252,Poeng!BE$1,FALSE)</f>
        <v>N/A</v>
      </c>
      <c r="J204" s="80"/>
      <c r="K204" s="281"/>
      <c r="L204" s="796"/>
      <c r="M204" s="816"/>
      <c r="N204" s="83"/>
      <c r="O204" s="123">
        <f>VLOOKUP(D204,Poeng!$B$10:$BC$252,Poeng!AF$1,FALSE)</f>
        <v>0</v>
      </c>
      <c r="P204" s="123" t="str">
        <f>VLOOKUP(D204,Poeng!$B$10:$BH$252,Poeng!BH$1,FALSE)</f>
        <v>N/A</v>
      </c>
      <c r="Q204" s="744"/>
      <c r="R204" s="745"/>
      <c r="S204" s="738"/>
      <c r="T204" s="319"/>
      <c r="U204" s="83"/>
      <c r="V204" s="123">
        <f>VLOOKUP(D204,Poeng!$B$10:$BC$252,Poeng!AG$1,FALSE)</f>
        <v>0</v>
      </c>
      <c r="W204" s="123" t="str">
        <f>VLOOKUP(D204,Poeng!$B$10:$BK$252,Poeng!BK$1,FALSE)</f>
        <v>N/A</v>
      </c>
      <c r="X204" s="81"/>
      <c r="Y204" s="80"/>
      <c r="Z204" s="738"/>
      <c r="AA204" s="133"/>
      <c r="AB204" s="640"/>
      <c r="AC204" s="107">
        <f t="shared" si="21"/>
        <v>1</v>
      </c>
      <c r="AD204" s="3" t="e">
        <f>VLOOKUP(K204,'Assessment Details'!$O$45:$P$48,2,FALSE)</f>
        <v>#N/A</v>
      </c>
      <c r="AE204" s="3" t="e">
        <f>VLOOKUP(R204,'Assessment Details'!$O$45:$P$48,2,FALSE)</f>
        <v>#N/A</v>
      </c>
      <c r="AF204" s="3" t="e">
        <f>VLOOKUP(Y204,'Assessment Details'!$O$45:$P$48,2,FALSE)</f>
        <v>#N/A</v>
      </c>
      <c r="AI204" s="70"/>
      <c r="AJ204" s="671"/>
      <c r="AK204" s="648"/>
      <c r="AL204" s="648"/>
      <c r="AM204" s="648"/>
      <c r="AN204" s="70"/>
      <c r="AO204" s="70"/>
      <c r="AP204" s="70"/>
      <c r="AS204" s="23"/>
      <c r="AT204" s="23"/>
      <c r="AU204" s="23"/>
      <c r="AV204" s="23"/>
      <c r="AW204" s="23"/>
      <c r="AX204" s="23"/>
      <c r="AZ204" s="640"/>
    </row>
    <row r="205" spans="1:52" x14ac:dyDescent="0.25">
      <c r="A205" s="1076">
        <v>196</v>
      </c>
      <c r="B205" s="1077" t="s">
        <v>71</v>
      </c>
      <c r="C205" s="1082" t="str">
        <f t="shared" si="19"/>
        <v>POL 04</v>
      </c>
      <c r="D205" s="824" t="s">
        <v>822</v>
      </c>
      <c r="E205" s="861" t="str">
        <f>VLOOKUP(D205,Poeng!$B$10:$R$252,Poeng!E$1,FALSE)</f>
        <v>Minimizing external light pollution</v>
      </c>
      <c r="F205" s="122">
        <f>VLOOKUP(D205,Poeng!$B$10:$AB$252,Poeng!AB$1,FALSE)</f>
        <v>0</v>
      </c>
      <c r="G205" s="43"/>
      <c r="H205" s="123">
        <f>VLOOKUP(D205,Poeng!$B$10:$AE$252,Poeng!AE$1,FALSE)</f>
        <v>0</v>
      </c>
      <c r="I205" s="124" t="str">
        <f>VLOOKUP(D205,Poeng!$B$10:$BE$252,Poeng!BE$1,FALSE)</f>
        <v>N/A</v>
      </c>
      <c r="J205" s="80"/>
      <c r="K205" s="281"/>
      <c r="L205" s="796"/>
      <c r="M205" s="816"/>
      <c r="N205" s="83"/>
      <c r="O205" s="123">
        <f>VLOOKUP(D205,Poeng!$B$10:$BC$252,Poeng!AF$1,FALSE)</f>
        <v>0</v>
      </c>
      <c r="P205" s="123" t="str">
        <f>VLOOKUP(D205,Poeng!$B$10:$BH$252,Poeng!BH$1,FALSE)</f>
        <v>N/A</v>
      </c>
      <c r="Q205" s="744"/>
      <c r="R205" s="745"/>
      <c r="S205" s="738"/>
      <c r="T205" s="319"/>
      <c r="U205" s="83"/>
      <c r="V205" s="123">
        <f>VLOOKUP(D205,Poeng!$B$10:$BC$252,Poeng!AG$1,FALSE)</f>
        <v>0</v>
      </c>
      <c r="W205" s="123" t="str">
        <f>VLOOKUP(D205,Poeng!$B$10:$BK$252,Poeng!BK$1,FALSE)</f>
        <v>N/A</v>
      </c>
      <c r="X205" s="81"/>
      <c r="Y205" s="80"/>
      <c r="Z205" s="738"/>
      <c r="AA205" s="133"/>
      <c r="AB205" s="640"/>
      <c r="AC205" s="107">
        <f t="shared" si="21"/>
        <v>2</v>
      </c>
      <c r="AD205" s="3" t="e">
        <f>VLOOKUP(K205,'Assessment Details'!$O$45:$P$48,2,FALSE)</f>
        <v>#N/A</v>
      </c>
      <c r="AE205" s="3" t="e">
        <f>VLOOKUP(R205,'Assessment Details'!$O$45:$P$48,2,FALSE)</f>
        <v>#N/A</v>
      </c>
      <c r="AF205" s="3" t="e">
        <f>VLOOKUP(Y205,'Assessment Details'!$O$45:$P$48,2,FALSE)</f>
        <v>#N/A</v>
      </c>
      <c r="AI205" s="70"/>
      <c r="AJ205" s="671"/>
      <c r="AK205" s="648"/>
      <c r="AL205" s="648"/>
      <c r="AM205" s="648"/>
      <c r="AN205" s="70"/>
      <c r="AO205" s="70"/>
      <c r="AP205" s="70"/>
      <c r="AS205" s="23"/>
      <c r="AT205" s="23"/>
      <c r="AU205" s="23"/>
      <c r="AV205" s="23"/>
      <c r="AW205" s="23"/>
      <c r="AX205" s="23"/>
      <c r="AZ205" s="640"/>
    </row>
    <row r="206" spans="1:52" x14ac:dyDescent="0.25">
      <c r="A206" s="1076">
        <v>197</v>
      </c>
      <c r="B206" s="1077" t="s">
        <v>71</v>
      </c>
      <c r="C206" s="924" t="s">
        <v>189</v>
      </c>
      <c r="D206" s="824" t="s">
        <v>189</v>
      </c>
      <c r="E206" s="860" t="str">
        <f>VLOOKUP(D206,Poeng!$B$10:$R$252,Poeng!E$1,FALSE)</f>
        <v>POL 05 Reduction of noise pollution</v>
      </c>
      <c r="F206" s="865">
        <f>VLOOKUP(D206,Poeng!$B$10:$AB$252,Poeng!AB$1,FALSE)</f>
        <v>1</v>
      </c>
      <c r="G206" s="1001"/>
      <c r="H206" s="866" t="str">
        <f>VLOOKUP(D206,Poeng!$B$10:$AI$252,Poeng!AI$1,FALSE)&amp;" c. "&amp;ROUND(VLOOKUP(D206,Poeng!$B$10:$AE$252,Poeng!AE$1,FALSE)*100,1)&amp;" %"</f>
        <v>0 c. 0 %</v>
      </c>
      <c r="I206" s="924" t="str">
        <f>VLOOKUP(D206,Poeng!$B$10:$BE$252,Poeng!BE$1,FALSE)</f>
        <v>N/A</v>
      </c>
      <c r="J206" s="80"/>
      <c r="K206" s="281"/>
      <c r="L206" s="796"/>
      <c r="M206" s="816"/>
      <c r="N206" s="1001"/>
      <c r="O206" s="877" t="str">
        <f>VLOOKUP(D206,Poeng!$B$10:$BC$252,Poeng!AJ$1,FALSE)&amp;" c. "&amp;ROUND(VLOOKUP(D206,Poeng!$B$10:$BC$252,Poeng!AF$1,FALSE)*100,1)&amp;" %"</f>
        <v>0 c. 0 %</v>
      </c>
      <c r="P206" s="123" t="str">
        <f>VLOOKUP(D206,Poeng!$B$10:$BH$252,Poeng!BH$1,FALSE)</f>
        <v>N/A</v>
      </c>
      <c r="Q206" s="744"/>
      <c r="R206" s="745"/>
      <c r="S206" s="738"/>
      <c r="T206" s="319"/>
      <c r="U206" s="1001"/>
      <c r="V206" s="877" t="str">
        <f>VLOOKUP(D206,Poeng!$B$10:$BC$252,Poeng!AK$1,FALSE)&amp;" c. "&amp;ROUND(VLOOKUP(D206,Poeng!$B$10:$BC$252,Poeng!AG$1,FALSE)*100,1)&amp;" %"</f>
        <v>0 c. 0 %</v>
      </c>
      <c r="W206" s="123" t="str">
        <f>VLOOKUP(D206,Poeng!$B$10:$BK$252,Poeng!BK$1,FALSE)</f>
        <v>N/A</v>
      </c>
      <c r="X206" s="81"/>
      <c r="Y206" s="80"/>
      <c r="Z206" s="738"/>
      <c r="AA206" s="133"/>
      <c r="AB206" s="640" t="s">
        <v>13</v>
      </c>
      <c r="AC206" s="107">
        <f t="shared" si="21"/>
        <v>1</v>
      </c>
      <c r="AD206" s="3" t="e">
        <f>VLOOKUP(K206,'Assessment Details'!$O$45:$P$48,2,FALSE)</f>
        <v>#N/A</v>
      </c>
      <c r="AE206" s="3" t="e">
        <f>VLOOKUP(R206,'Assessment Details'!$O$45:$P$48,2,FALSE)</f>
        <v>#N/A</v>
      </c>
      <c r="AF206" s="3" t="e">
        <f>VLOOKUP(Y206,'Assessment Details'!$O$45:$P$48,2,FALSE)</f>
        <v>#N/A</v>
      </c>
      <c r="AI206" s="70" t="str">
        <f>ais_ja</f>
        <v>Ja</v>
      </c>
      <c r="AJ206" s="671" t="s">
        <v>168</v>
      </c>
      <c r="AK206" s="648" t="s">
        <v>406</v>
      </c>
      <c r="AL206" s="648" t="s">
        <v>410</v>
      </c>
      <c r="AM206" s="648" t="s">
        <v>408</v>
      </c>
      <c r="AN206" s="70"/>
      <c r="AO206" s="70"/>
      <c r="AP206" s="70"/>
      <c r="AR206" s="1" t="s">
        <v>13</v>
      </c>
      <c r="AS206" s="23" t="str">
        <f t="shared" si="24"/>
        <v>N/A</v>
      </c>
      <c r="AT206" s="23" t="str">
        <f t="shared" si="25"/>
        <v>N/A</v>
      </c>
      <c r="AU206" s="23" t="str">
        <f t="shared" si="26"/>
        <v>N/A</v>
      </c>
      <c r="AV206" s="23"/>
      <c r="AW206" s="23"/>
      <c r="AX206" s="23"/>
      <c r="AZ206" s="640"/>
    </row>
    <row r="207" spans="1:52" x14ac:dyDescent="0.25">
      <c r="A207" s="1076">
        <v>198</v>
      </c>
      <c r="B207" s="1077" t="s">
        <v>71</v>
      </c>
      <c r="C207" s="1082" t="str">
        <f t="shared" si="19"/>
        <v>POL 05</v>
      </c>
      <c r="D207" s="824" t="s">
        <v>823</v>
      </c>
      <c r="E207" s="861" t="str">
        <f>VLOOKUP(D207,Poeng!$B$10:$R$252,Poeng!E$1,FALSE)</f>
        <v>No noise-sensitive areas</v>
      </c>
      <c r="F207" s="122">
        <f>VLOOKUP(D207,Poeng!$B$10:$AB$252,Poeng!AB$1,FALSE)</f>
        <v>1</v>
      </c>
      <c r="G207" s="43"/>
      <c r="H207" s="123">
        <f>VLOOKUP(D207,Poeng!$B$10:$AE$252,Poeng!AE$1,FALSE)</f>
        <v>0</v>
      </c>
      <c r="I207" s="124" t="str">
        <f>VLOOKUP(D207,Poeng!$B$10:$BE$252,Poeng!BE$1,FALSE)</f>
        <v>N/A</v>
      </c>
      <c r="J207" s="80"/>
      <c r="K207" s="281"/>
      <c r="L207" s="796"/>
      <c r="M207" s="816"/>
      <c r="N207" s="83"/>
      <c r="O207" s="123">
        <f>VLOOKUP(D207,Poeng!$B$10:$BC$252,Poeng!AF$1,FALSE)</f>
        <v>0</v>
      </c>
      <c r="P207" s="123" t="str">
        <f>VLOOKUP(D207,Poeng!$B$10:$BH$252,Poeng!BH$1,FALSE)</f>
        <v>N/A</v>
      </c>
      <c r="Q207" s="744"/>
      <c r="R207" s="745"/>
      <c r="S207" s="738"/>
      <c r="T207" s="319"/>
      <c r="U207" s="83"/>
      <c r="V207" s="123">
        <f>VLOOKUP(D207,Poeng!$B$10:$BC$252,Poeng!AG$1,FALSE)</f>
        <v>0</v>
      </c>
      <c r="W207" s="123" t="str">
        <f>VLOOKUP(D207,Poeng!$B$10:$BK$252,Poeng!BK$1,FALSE)</f>
        <v>N/A</v>
      </c>
      <c r="X207" s="81"/>
      <c r="Y207" s="80"/>
      <c r="Z207" s="738"/>
      <c r="AA207" s="133"/>
      <c r="AB207" s="714"/>
      <c r="AC207" s="107">
        <f t="shared" si="21"/>
        <v>1</v>
      </c>
      <c r="AD207" s="3" t="e">
        <f>VLOOKUP(K207,'Assessment Details'!$O$45:$P$48,2,FALSE)</f>
        <v>#N/A</v>
      </c>
      <c r="AE207" s="3" t="e">
        <f>VLOOKUP(R207,'Assessment Details'!$O$45:$P$48,2,FALSE)</f>
        <v>#N/A</v>
      </c>
      <c r="AF207" s="3" t="e">
        <f>VLOOKUP(Y207,'Assessment Details'!$O$45:$P$48,2,FALSE)</f>
        <v>#N/A</v>
      </c>
      <c r="AI207" s="70"/>
      <c r="AJ207" s="671"/>
      <c r="AK207" s="648"/>
      <c r="AL207" s="648"/>
      <c r="AM207" s="648"/>
      <c r="AN207" s="70"/>
      <c r="AO207" s="70"/>
      <c r="AP207" s="70"/>
      <c r="AS207" s="23"/>
      <c r="AT207" s="23"/>
      <c r="AU207" s="23"/>
      <c r="AV207" s="23"/>
      <c r="AW207" s="23"/>
      <c r="AX207" s="23"/>
      <c r="AZ207" s="714"/>
    </row>
    <row r="208" spans="1:52" x14ac:dyDescent="0.25">
      <c r="A208" s="1076">
        <v>199</v>
      </c>
      <c r="B208" s="1077" t="s">
        <v>71</v>
      </c>
      <c r="C208" s="1082" t="str">
        <f t="shared" si="19"/>
        <v>POL 05</v>
      </c>
      <c r="D208" s="824" t="s">
        <v>824</v>
      </c>
      <c r="E208" s="861" t="str">
        <f>VLOOKUP(D208,Poeng!$B$10:$R$252,Poeng!E$1,FALSE)</f>
        <v>Minimizing noise pollution in noise-sensitive areas</v>
      </c>
      <c r="F208" s="122">
        <f>VLOOKUP(D208,Poeng!$B$10:$AB$252,Poeng!AB$1,FALSE)</f>
        <v>0</v>
      </c>
      <c r="G208" s="43"/>
      <c r="H208" s="123">
        <f>VLOOKUP(D208,Poeng!$B$10:$AE$252,Poeng!AE$1,FALSE)</f>
        <v>0</v>
      </c>
      <c r="I208" s="124" t="str">
        <f>VLOOKUP(D208,Poeng!$B$10:$BE$252,Poeng!BE$1,FALSE)</f>
        <v>N/A</v>
      </c>
      <c r="J208" s="80"/>
      <c r="K208" s="281"/>
      <c r="L208" s="796"/>
      <c r="M208" s="816"/>
      <c r="N208" s="83"/>
      <c r="O208" s="123">
        <f>VLOOKUP(D208,Poeng!$B$10:$BC$252,Poeng!AF$1,FALSE)</f>
        <v>0</v>
      </c>
      <c r="P208" s="123" t="str">
        <f>VLOOKUP(D208,Poeng!$B$10:$BH$252,Poeng!BH$1,FALSE)</f>
        <v>N/A</v>
      </c>
      <c r="Q208" s="744"/>
      <c r="R208" s="745"/>
      <c r="S208" s="738"/>
      <c r="T208" s="319"/>
      <c r="U208" s="83"/>
      <c r="V208" s="123">
        <f>VLOOKUP(D208,Poeng!$B$10:$BC$252,Poeng!AG$1,FALSE)</f>
        <v>0</v>
      </c>
      <c r="W208" s="123" t="str">
        <f>VLOOKUP(D208,Poeng!$B$10:$BK$252,Poeng!BK$1,FALSE)</f>
        <v>N/A</v>
      </c>
      <c r="X208" s="81"/>
      <c r="Y208" s="80"/>
      <c r="Z208" s="738"/>
      <c r="AA208" s="133"/>
      <c r="AB208" s="714"/>
      <c r="AC208" s="107">
        <f t="shared" si="21"/>
        <v>2</v>
      </c>
      <c r="AD208" s="3" t="e">
        <f>VLOOKUP(K208,'Assessment Details'!$O$45:$P$48,2,FALSE)</f>
        <v>#N/A</v>
      </c>
      <c r="AE208" s="3" t="e">
        <f>VLOOKUP(R208,'Assessment Details'!$O$45:$P$48,2,FALSE)</f>
        <v>#N/A</v>
      </c>
      <c r="AF208" s="3" t="e">
        <f>VLOOKUP(Y208,'Assessment Details'!$O$45:$P$48,2,FALSE)</f>
        <v>#N/A</v>
      </c>
      <c r="AI208" s="70"/>
      <c r="AJ208" s="671"/>
      <c r="AK208" s="648"/>
      <c r="AL208" s="648"/>
      <c r="AM208" s="648"/>
      <c r="AN208" s="70"/>
      <c r="AO208" s="70"/>
      <c r="AP208" s="70"/>
      <c r="AS208" s="23"/>
      <c r="AT208" s="23"/>
      <c r="AU208" s="23"/>
      <c r="AV208" s="23"/>
      <c r="AW208" s="23"/>
      <c r="AX208" s="23"/>
      <c r="AZ208" s="714"/>
    </row>
    <row r="209" spans="1:52" ht="15.75" thickBot="1" x14ac:dyDescent="0.3">
      <c r="A209" s="1076">
        <v>200</v>
      </c>
      <c r="B209" s="1077" t="s">
        <v>71</v>
      </c>
      <c r="C209" s="1083"/>
      <c r="D209" s="824" t="s">
        <v>890</v>
      </c>
      <c r="E209" s="320" t="s">
        <v>111</v>
      </c>
      <c r="F209" s="125">
        <f>Pol_Credits</f>
        <v>7</v>
      </c>
      <c r="G209" s="131"/>
      <c r="H209" s="126">
        <f>Pol_cont_tot</f>
        <v>0</v>
      </c>
      <c r="I209" s="867" t="str">
        <f>"Credits achieved: "&amp;Pol_tot_user</f>
        <v>Credits achieved: 0</v>
      </c>
      <c r="J209" s="134"/>
      <c r="K209" s="282"/>
      <c r="L209" s="746"/>
      <c r="M209" s="816"/>
      <c r="N209" s="383"/>
      <c r="O209" s="126">
        <f>VLOOKUP(D209,Poeng!$B$10:$BC$252,Poeng!AF$1,FALSE)</f>
        <v>0</v>
      </c>
      <c r="P209" s="867" t="str">
        <f>"Credits achieved: "&amp;Pol_d_user</f>
        <v>Credits achieved: 0</v>
      </c>
      <c r="Q209" s="747"/>
      <c r="R209" s="748"/>
      <c r="S209" s="746"/>
      <c r="T209" s="319"/>
      <c r="U209" s="383"/>
      <c r="V209" s="126">
        <f>VLOOKUP(D209,Poeng!$B$10:$BC$252,Poeng!AG$1,FALSE)</f>
        <v>0</v>
      </c>
      <c r="W209" s="867" t="str">
        <f>"Credits achieved: "&amp;Pol_c_user</f>
        <v>Credits achieved: 0</v>
      </c>
      <c r="X209" s="382"/>
      <c r="Y209" s="136"/>
      <c r="Z209" s="746"/>
      <c r="AA209" s="133"/>
      <c r="AB209" s="641"/>
      <c r="AC209" s="107">
        <f t="shared" si="21"/>
        <v>1</v>
      </c>
      <c r="AD209" s="276">
        <v>0</v>
      </c>
      <c r="AE209" s="276">
        <v>0</v>
      </c>
      <c r="AF209" s="276">
        <v>0</v>
      </c>
      <c r="AI209" s="70"/>
      <c r="AJ209" s="671" t="s">
        <v>111</v>
      </c>
      <c r="AK209" s="70"/>
      <c r="AL209" s="70"/>
      <c r="AM209" s="70"/>
      <c r="AN209" s="70"/>
      <c r="AO209" s="70"/>
      <c r="AP209" s="70"/>
      <c r="AS209" s="23" t="str">
        <f t="shared" si="24"/>
        <v>N/A</v>
      </c>
      <c r="AT209" s="23" t="str">
        <f t="shared" si="25"/>
        <v>N/A</v>
      </c>
      <c r="AU209" s="23" t="str">
        <f t="shared" si="26"/>
        <v>N/A</v>
      </c>
      <c r="AV209" s="23"/>
      <c r="AW209" s="23"/>
      <c r="AX209" s="23"/>
      <c r="AZ209" s="641"/>
    </row>
    <row r="210" spans="1:52" x14ac:dyDescent="0.25">
      <c r="A210" s="1076">
        <v>201</v>
      </c>
      <c r="B210" s="1077" t="s">
        <v>71</v>
      </c>
      <c r="C210" s="322"/>
      <c r="D210" s="824"/>
      <c r="E210" s="321"/>
      <c r="F210" s="322"/>
      <c r="G210" s="323"/>
      <c r="H210" s="322"/>
      <c r="I210" s="322"/>
      <c r="J210" s="324"/>
      <c r="K210" s="323"/>
      <c r="L210" s="749"/>
      <c r="M210" s="815"/>
      <c r="N210" s="325"/>
      <c r="O210" s="325"/>
      <c r="P210" s="749"/>
      <c r="Q210" s="749"/>
      <c r="R210" s="750"/>
      <c r="S210" s="1094"/>
      <c r="T210" s="326"/>
      <c r="U210" s="325"/>
      <c r="V210" s="325"/>
      <c r="W210" s="749"/>
      <c r="X210" s="324"/>
      <c r="Y210" s="325"/>
      <c r="Z210" s="1094"/>
      <c r="AA210" s="699"/>
      <c r="AB210" s="324"/>
      <c r="AC210" s="107">
        <f t="shared" si="21"/>
        <v>1</v>
      </c>
      <c r="AD210" s="278">
        <v>0</v>
      </c>
      <c r="AE210" s="278">
        <v>0</v>
      </c>
      <c r="AF210" s="278">
        <v>0</v>
      </c>
      <c r="AI210" s="70"/>
      <c r="AJ210" s="671"/>
      <c r="AK210" s="70"/>
      <c r="AL210" s="70"/>
      <c r="AM210" s="70"/>
      <c r="AN210" s="70"/>
      <c r="AO210" s="70"/>
      <c r="AP210" s="70"/>
      <c r="AS210" s="23" t="str">
        <f t="shared" si="24"/>
        <v>N/A</v>
      </c>
      <c r="AT210" s="23" t="str">
        <f t="shared" si="25"/>
        <v>N/A</v>
      </c>
      <c r="AU210" s="23" t="str">
        <f t="shared" si="26"/>
        <v>N/A</v>
      </c>
      <c r="AV210" s="23"/>
      <c r="AW210" s="23"/>
      <c r="AX210" s="23"/>
      <c r="AZ210" s="324"/>
    </row>
    <row r="211" spans="1:52" ht="18.75" x14ac:dyDescent="0.25">
      <c r="A211" s="1076">
        <v>202</v>
      </c>
      <c r="B211" s="1077" t="s">
        <v>825</v>
      </c>
      <c r="C211" s="1084"/>
      <c r="D211" s="824"/>
      <c r="E211" s="327" t="s">
        <v>255</v>
      </c>
      <c r="F211" s="315"/>
      <c r="G211" s="316"/>
      <c r="H211" s="336"/>
      <c r="I211" s="315"/>
      <c r="J211" s="328"/>
      <c r="K211" s="329"/>
      <c r="L211" s="752"/>
      <c r="M211" s="816"/>
      <c r="N211" s="339"/>
      <c r="O211" s="332"/>
      <c r="P211" s="742"/>
      <c r="Q211" s="753"/>
      <c r="R211" s="754"/>
      <c r="S211" s="755"/>
      <c r="T211" s="319"/>
      <c r="U211" s="339"/>
      <c r="V211" s="338"/>
      <c r="W211" s="742"/>
      <c r="X211" s="328"/>
      <c r="Y211" s="338"/>
      <c r="Z211" s="752"/>
      <c r="AA211" s="133"/>
      <c r="AB211" s="337"/>
      <c r="AC211" s="107">
        <f t="shared" si="21"/>
        <v>1</v>
      </c>
      <c r="AD211" s="275">
        <v>0</v>
      </c>
      <c r="AE211" s="275">
        <v>0</v>
      </c>
      <c r="AF211" s="275">
        <v>0</v>
      </c>
      <c r="AI211" s="70"/>
      <c r="AJ211" s="671" t="s">
        <v>255</v>
      </c>
      <c r="AK211" s="70"/>
      <c r="AL211" s="70"/>
      <c r="AM211" s="70"/>
      <c r="AN211" s="70"/>
      <c r="AO211" s="70"/>
      <c r="AP211" s="70"/>
      <c r="AS211" s="23" t="str">
        <f t="shared" si="24"/>
        <v>N/A</v>
      </c>
      <c r="AT211" s="23" t="str">
        <f t="shared" si="25"/>
        <v>N/A</v>
      </c>
      <c r="AU211" s="23" t="str">
        <f t="shared" si="26"/>
        <v>N/A</v>
      </c>
      <c r="AV211" s="23"/>
      <c r="AW211" s="23"/>
      <c r="AX211" s="23"/>
      <c r="AZ211" s="337"/>
    </row>
    <row r="212" spans="1:52" x14ac:dyDescent="0.25">
      <c r="A212" s="1076">
        <v>203</v>
      </c>
      <c r="B212" s="1077" t="s">
        <v>825</v>
      </c>
      <c r="C212" s="1090" t="s">
        <v>825</v>
      </c>
      <c r="D212" s="824" t="s">
        <v>190</v>
      </c>
      <c r="E212" s="318" t="str">
        <f>VLOOKUP(D212,Poeng!$B$10:$R$252,Poeng!E$1,FALSE)</f>
        <v xml:space="preserve">Inn 01 - Man 03: Reduction of direct emissions from construction sites </v>
      </c>
      <c r="F212" s="122">
        <f>Inn01_credits</f>
        <v>1</v>
      </c>
      <c r="G212" s="43"/>
      <c r="H212" s="123">
        <f>Inn01_cont</f>
        <v>0</v>
      </c>
      <c r="I212" s="129" t="str">
        <f>Inn01_minstd</f>
        <v>N/A</v>
      </c>
      <c r="J212" s="80"/>
      <c r="K212" s="281"/>
      <c r="L212" s="738"/>
      <c r="M212" s="816"/>
      <c r="N212" s="83"/>
      <c r="O212" s="1092">
        <f>VLOOKUP(D212,Poeng!$B$10:$BC$252,Poeng!AF$1,FALSE)</f>
        <v>0</v>
      </c>
      <c r="P212" s="123" t="str">
        <f>VLOOKUP(D212,Poeng!$B$10:$BH$252,Poeng!BH$1,FALSE)</f>
        <v>N/A</v>
      </c>
      <c r="Q212" s="744"/>
      <c r="R212" s="745"/>
      <c r="S212" s="738"/>
      <c r="T212" s="319"/>
      <c r="U212" s="83"/>
      <c r="V212" s="123">
        <f>VLOOKUP(D212,Poeng!$B$10:$BC$252,Poeng!AG$1,FALSE)</f>
        <v>0</v>
      </c>
      <c r="W212" s="123" t="str">
        <f>VLOOKUP(D212,Poeng!$B$10:$BK$252,Poeng!BK$1,FALSE)</f>
        <v>N/A</v>
      </c>
      <c r="X212" s="81"/>
      <c r="Y212" s="80"/>
      <c r="Z212" s="738"/>
      <c r="AA212" s="133"/>
      <c r="AB212" s="640" t="s">
        <v>14</v>
      </c>
      <c r="AC212" s="107">
        <f t="shared" ref="AC212:AC226" si="30">IF(F212="",1,IF(F212=0,2,1))</f>
        <v>1</v>
      </c>
      <c r="AD212" s="3" t="e">
        <f>VLOOKUP(K212,'Assessment Details'!$O$45:$P$48,2,FALSE)</f>
        <v>#N/A</v>
      </c>
      <c r="AE212" s="3" t="e">
        <f>VLOOKUP(R212,'Assessment Details'!$O$45:$P$48,2,FALSE)</f>
        <v>#N/A</v>
      </c>
      <c r="AF212" s="3" t="e">
        <f>VLOOKUP(Y212,'Assessment Details'!$O$45:$P$48,2,FALSE)</f>
        <v>#N/A</v>
      </c>
      <c r="AI212" s="70"/>
      <c r="AJ212" s="671" t="s">
        <v>336</v>
      </c>
      <c r="AK212" s="70"/>
      <c r="AL212" s="70"/>
      <c r="AM212" s="70"/>
      <c r="AN212" s="70"/>
      <c r="AO212" s="70"/>
      <c r="AP212" s="70"/>
      <c r="AS212" s="23" t="str">
        <f t="shared" si="24"/>
        <v>N/A</v>
      </c>
      <c r="AT212" s="23" t="str">
        <f t="shared" si="25"/>
        <v>N/A</v>
      </c>
      <c r="AU212" s="23" t="str">
        <f t="shared" si="26"/>
        <v>N/A</v>
      </c>
      <c r="AV212" s="23"/>
      <c r="AW212" s="23"/>
      <c r="AX212" s="23"/>
      <c r="AZ212" s="640"/>
    </row>
    <row r="213" spans="1:52" x14ac:dyDescent="0.25">
      <c r="A213" s="1076">
        <v>204</v>
      </c>
      <c r="B213" s="1077" t="s">
        <v>825</v>
      </c>
      <c r="C213" s="1090" t="s">
        <v>825</v>
      </c>
      <c r="D213" s="824" t="s">
        <v>191</v>
      </c>
      <c r="E213" s="318" t="str">
        <f>VLOOKUP(D213,Poeng!$B$10:$R$252,Poeng!E$1,FALSE)</f>
        <v xml:space="preserve">Inn 02 - Hea 01: View out, high level </v>
      </c>
      <c r="F213" s="122">
        <f>Inn02_credits</f>
        <v>1</v>
      </c>
      <c r="G213" s="43"/>
      <c r="H213" s="123">
        <f>Inn02_cont</f>
        <v>0</v>
      </c>
      <c r="I213" s="129" t="str">
        <f>Inn02_minstd</f>
        <v>N/A</v>
      </c>
      <c r="J213" s="80"/>
      <c r="K213" s="281"/>
      <c r="L213" s="738"/>
      <c r="M213" s="816"/>
      <c r="N213" s="83"/>
      <c r="O213" s="123">
        <f>VLOOKUP(D213,Poeng!$B$10:$BC$252,Poeng!AF$1,FALSE)</f>
        <v>0</v>
      </c>
      <c r="P213" s="123" t="str">
        <f>VLOOKUP(D213,Poeng!$B$10:$BH$252,Poeng!BH$1,FALSE)</f>
        <v>N/A</v>
      </c>
      <c r="Q213" s="744"/>
      <c r="R213" s="745"/>
      <c r="S213" s="738"/>
      <c r="T213" s="319"/>
      <c r="U213" s="83"/>
      <c r="V213" s="123">
        <f>VLOOKUP(D213,Poeng!$B$10:$BC$252,Poeng!AG$1,FALSE)</f>
        <v>0</v>
      </c>
      <c r="W213" s="123" t="str">
        <f>VLOOKUP(D213,Poeng!$B$10:$BK$252,Poeng!BK$1,FALSE)</f>
        <v>N/A</v>
      </c>
      <c r="X213" s="81"/>
      <c r="Y213" s="80"/>
      <c r="Z213" s="738"/>
      <c r="AA213" s="133"/>
      <c r="AB213" s="640" t="s">
        <v>14</v>
      </c>
      <c r="AC213" s="107">
        <f t="shared" si="30"/>
        <v>1</v>
      </c>
      <c r="AD213" s="3" t="e">
        <f>VLOOKUP(K213,'Assessment Details'!$O$45:$P$48,2,FALSE)</f>
        <v>#N/A</v>
      </c>
      <c r="AE213" s="3" t="e">
        <f>VLOOKUP(R213,'Assessment Details'!$O$45:$P$48,2,FALSE)</f>
        <v>#N/A</v>
      </c>
      <c r="AF213" s="3" t="e">
        <f>VLOOKUP(Y213,'Assessment Details'!$O$45:$P$48,2,FALSE)</f>
        <v>#N/A</v>
      </c>
      <c r="AI213" s="70"/>
      <c r="AJ213" s="671" t="s">
        <v>337</v>
      </c>
      <c r="AK213" s="70"/>
      <c r="AL213" s="70"/>
      <c r="AM213" s="70"/>
      <c r="AN213" s="70"/>
      <c r="AO213" s="70"/>
      <c r="AP213" s="70"/>
      <c r="AS213" s="23" t="str">
        <f t="shared" si="24"/>
        <v>N/A</v>
      </c>
      <c r="AT213" s="23" t="str">
        <f t="shared" si="25"/>
        <v>N/A</v>
      </c>
      <c r="AU213" s="23" t="str">
        <f t="shared" si="26"/>
        <v>N/A</v>
      </c>
      <c r="AV213" s="23"/>
      <c r="AW213" s="23"/>
      <c r="AX213" s="23"/>
      <c r="AZ213" s="640"/>
    </row>
    <row r="214" spans="1:52" x14ac:dyDescent="0.25">
      <c r="A214" s="1076">
        <v>205</v>
      </c>
      <c r="B214" s="1077" t="s">
        <v>825</v>
      </c>
      <c r="C214" s="1090" t="s">
        <v>825</v>
      </c>
      <c r="D214" s="824" t="s">
        <v>192</v>
      </c>
      <c r="E214" s="318" t="str">
        <f>VLOOKUP(D214,Poeng!$B$10:$R$252,Poeng!E$1,FALSE)</f>
        <v>Inn 03 - Hea 02: Emissions from construction products</v>
      </c>
      <c r="F214" s="122">
        <f>Inn03_credits</f>
        <v>1</v>
      </c>
      <c r="G214" s="43"/>
      <c r="H214" s="123">
        <f>Inn03_cont</f>
        <v>0</v>
      </c>
      <c r="I214" s="129" t="str">
        <f>Inn03_minstd</f>
        <v>N/A</v>
      </c>
      <c r="J214" s="80"/>
      <c r="K214" s="281"/>
      <c r="L214" s="738"/>
      <c r="M214" s="816"/>
      <c r="N214" s="83"/>
      <c r="O214" s="123">
        <f>VLOOKUP(D214,Poeng!$B$10:$BC$252,Poeng!AF$1,FALSE)</f>
        <v>0</v>
      </c>
      <c r="P214" s="123" t="str">
        <f>VLOOKUP(D214,Poeng!$B$10:$BH$252,Poeng!BH$1,FALSE)</f>
        <v>N/A</v>
      </c>
      <c r="Q214" s="744"/>
      <c r="R214" s="745"/>
      <c r="S214" s="738"/>
      <c r="T214" s="319"/>
      <c r="U214" s="83"/>
      <c r="V214" s="123">
        <f>VLOOKUP(D214,Poeng!$B$10:$BC$252,Poeng!AG$1,FALSE)</f>
        <v>0</v>
      </c>
      <c r="W214" s="123" t="str">
        <f>VLOOKUP(D214,Poeng!$B$10:$BK$252,Poeng!BK$1,FALSE)</f>
        <v>N/A</v>
      </c>
      <c r="X214" s="81"/>
      <c r="Y214" s="80"/>
      <c r="Z214" s="738"/>
      <c r="AA214" s="133"/>
      <c r="AB214" s="640" t="s">
        <v>14</v>
      </c>
      <c r="AC214" s="107">
        <f t="shared" si="30"/>
        <v>1</v>
      </c>
      <c r="AD214" s="3" t="e">
        <f>VLOOKUP(K214,'Assessment Details'!$O$45:$P$48,2,FALSE)</f>
        <v>#N/A</v>
      </c>
      <c r="AE214" s="3" t="e">
        <f>VLOOKUP(R214,'Assessment Details'!$O$45:$P$48,2,FALSE)</f>
        <v>#N/A</v>
      </c>
      <c r="AF214" s="3" t="e">
        <f>VLOOKUP(Y214,'Assessment Details'!$O$45:$P$48,2,FALSE)</f>
        <v>#N/A</v>
      </c>
      <c r="AI214" s="70"/>
      <c r="AJ214" s="671" t="s">
        <v>338</v>
      </c>
      <c r="AK214" s="70"/>
      <c r="AL214" s="70"/>
      <c r="AM214" s="70"/>
      <c r="AN214" s="70"/>
      <c r="AO214" s="70"/>
      <c r="AP214" s="70"/>
      <c r="AS214" s="23" t="str">
        <f t="shared" si="24"/>
        <v>N/A</v>
      </c>
      <c r="AT214" s="23" t="str">
        <f t="shared" si="25"/>
        <v>N/A</v>
      </c>
      <c r="AU214" s="23" t="str">
        <f t="shared" si="26"/>
        <v>N/A</v>
      </c>
      <c r="AV214" s="23"/>
      <c r="AW214" s="23"/>
      <c r="AX214" s="23"/>
      <c r="AZ214" s="640"/>
    </row>
    <row r="215" spans="1:52" x14ac:dyDescent="0.25">
      <c r="A215" s="1076">
        <v>206</v>
      </c>
      <c r="B215" s="1077" t="s">
        <v>825</v>
      </c>
      <c r="C215" s="1090" t="s">
        <v>825</v>
      </c>
      <c r="D215" s="824" t="s">
        <v>193</v>
      </c>
      <c r="E215" s="318" t="str">
        <f>VLOOKUP(D215,Poeng!$B$10:$R$252,Poeng!E$1,FALSE)</f>
        <v xml:space="preserve">Inn 04 - Hea 06: Biofilik design </v>
      </c>
      <c r="F215" s="122">
        <f>Inn04_credits</f>
        <v>1</v>
      </c>
      <c r="G215" s="43"/>
      <c r="H215" s="123">
        <f>Inn04_cont</f>
        <v>0</v>
      </c>
      <c r="I215" s="129" t="str">
        <f>Inn04_minstd</f>
        <v>N/A</v>
      </c>
      <c r="J215" s="80"/>
      <c r="K215" s="281"/>
      <c r="L215" s="738"/>
      <c r="M215" s="816"/>
      <c r="N215" s="83"/>
      <c r="O215" s="123">
        <f>VLOOKUP(D215,Poeng!$B$10:$BC$252,Poeng!AF$1,FALSE)</f>
        <v>0</v>
      </c>
      <c r="P215" s="123" t="str">
        <f>VLOOKUP(D215,Poeng!$B$10:$BH$252,Poeng!BH$1,FALSE)</f>
        <v>N/A</v>
      </c>
      <c r="Q215" s="744"/>
      <c r="R215" s="745"/>
      <c r="S215" s="738"/>
      <c r="T215" s="319"/>
      <c r="U215" s="83"/>
      <c r="V215" s="123">
        <f>VLOOKUP(D215,Poeng!$B$10:$BC$252,Poeng!AG$1,FALSE)</f>
        <v>0</v>
      </c>
      <c r="W215" s="123" t="str">
        <f>VLOOKUP(D215,Poeng!$B$10:$BK$252,Poeng!BK$1,FALSE)</f>
        <v>N/A</v>
      </c>
      <c r="X215" s="81"/>
      <c r="Y215" s="80"/>
      <c r="Z215" s="738"/>
      <c r="AA215" s="133"/>
      <c r="AB215" s="640" t="s">
        <v>14</v>
      </c>
      <c r="AC215" s="107">
        <f t="shared" si="30"/>
        <v>1</v>
      </c>
      <c r="AD215" s="3" t="e">
        <f>VLOOKUP(K215,'Assessment Details'!$O$45:$P$48,2,FALSE)</f>
        <v>#N/A</v>
      </c>
      <c r="AE215" s="3" t="e">
        <f>VLOOKUP(R215,'Assessment Details'!$O$45:$P$48,2,FALSE)</f>
        <v>#N/A</v>
      </c>
      <c r="AF215" s="3" t="e">
        <f>VLOOKUP(Y215,'Assessment Details'!$O$45:$P$48,2,FALSE)</f>
        <v>#N/A</v>
      </c>
      <c r="AI215" s="70"/>
      <c r="AJ215" s="671" t="s">
        <v>339</v>
      </c>
      <c r="AK215" s="70"/>
      <c r="AL215" s="70"/>
      <c r="AM215" s="70"/>
      <c r="AN215" s="70"/>
      <c r="AO215" s="70"/>
      <c r="AP215" s="70"/>
      <c r="AS215" s="23" t="str">
        <f t="shared" si="24"/>
        <v>N/A</v>
      </c>
      <c r="AT215" s="23" t="str">
        <f t="shared" si="25"/>
        <v>N/A</v>
      </c>
      <c r="AU215" s="23" t="str">
        <f t="shared" si="26"/>
        <v>N/A</v>
      </c>
      <c r="AV215" s="23"/>
      <c r="AW215" s="23"/>
      <c r="AX215" s="23"/>
      <c r="AZ215" s="640"/>
    </row>
    <row r="216" spans="1:52" x14ac:dyDescent="0.25">
      <c r="A216" s="1076">
        <v>207</v>
      </c>
      <c r="B216" s="1077" t="s">
        <v>825</v>
      </c>
      <c r="C216" s="1090" t="s">
        <v>825</v>
      </c>
      <c r="D216" s="824" t="s">
        <v>194</v>
      </c>
      <c r="E216" s="318" t="str">
        <f>VLOOKUP(D216,Poeng!$B$10:$R$252,Poeng!E$1,FALSE)</f>
        <v xml:space="preserve">Inn 05 - Ene 01: Post-occupancy stage </v>
      </c>
      <c r="F216" s="122">
        <f>Inn05_credits</f>
        <v>2</v>
      </c>
      <c r="G216" s="43"/>
      <c r="H216" s="123">
        <f>Inn05_cont</f>
        <v>0</v>
      </c>
      <c r="I216" s="129" t="str">
        <f>Inn05_minstd</f>
        <v>N/A</v>
      </c>
      <c r="J216" s="80"/>
      <c r="K216" s="281"/>
      <c r="L216" s="738"/>
      <c r="M216" s="816"/>
      <c r="N216" s="83"/>
      <c r="O216" s="123">
        <f>VLOOKUP(D216,Poeng!$B$10:$BC$252,Poeng!AF$1,FALSE)</f>
        <v>0</v>
      </c>
      <c r="P216" s="123" t="str">
        <f>VLOOKUP(D216,Poeng!$B$10:$BH$252,Poeng!BH$1,FALSE)</f>
        <v>N/A</v>
      </c>
      <c r="Q216" s="744"/>
      <c r="R216" s="745"/>
      <c r="S216" s="738"/>
      <c r="T216" s="319"/>
      <c r="U216" s="83"/>
      <c r="V216" s="123">
        <f>VLOOKUP(D216,Poeng!$B$10:$BC$252,Poeng!AG$1,FALSE)</f>
        <v>0</v>
      </c>
      <c r="W216" s="123" t="str">
        <f>VLOOKUP(D216,Poeng!$B$10:$BK$252,Poeng!BK$1,FALSE)</f>
        <v>N/A</v>
      </c>
      <c r="X216" s="81"/>
      <c r="Y216" s="80"/>
      <c r="Z216" s="738"/>
      <c r="AA216" s="133"/>
      <c r="AB216" s="640" t="s">
        <v>14</v>
      </c>
      <c r="AC216" s="107">
        <f t="shared" si="30"/>
        <v>1</v>
      </c>
      <c r="AD216" s="3" t="e">
        <f>VLOOKUP(K216,'Assessment Details'!$O$45:$P$48,2,FALSE)</f>
        <v>#N/A</v>
      </c>
      <c r="AE216" s="3" t="e">
        <f>VLOOKUP(R216,'Assessment Details'!$O$45:$P$48,2,FALSE)</f>
        <v>#N/A</v>
      </c>
      <c r="AF216" s="3" t="e">
        <f>VLOOKUP(Y216,'Assessment Details'!$O$45:$P$48,2,FALSE)</f>
        <v>#N/A</v>
      </c>
      <c r="AI216" s="70"/>
      <c r="AJ216" s="671" t="s">
        <v>249</v>
      </c>
      <c r="AK216" s="70"/>
      <c r="AL216" s="70"/>
      <c r="AM216" s="70"/>
      <c r="AN216" s="70"/>
      <c r="AO216" s="70"/>
      <c r="AP216" s="70"/>
      <c r="AS216" s="23" t="str">
        <f t="shared" si="24"/>
        <v>N/A</v>
      </c>
      <c r="AT216" s="23" t="str">
        <f t="shared" si="25"/>
        <v>N/A</v>
      </c>
      <c r="AU216" s="23" t="str">
        <f t="shared" si="26"/>
        <v>N/A</v>
      </c>
      <c r="AV216" s="23"/>
      <c r="AW216" s="23"/>
      <c r="AX216" s="23"/>
      <c r="AZ216" s="640"/>
    </row>
    <row r="217" spans="1:52" x14ac:dyDescent="0.25">
      <c r="A217" s="1076">
        <v>208</v>
      </c>
      <c r="B217" s="1077" t="s">
        <v>825</v>
      </c>
      <c r="C217" s="1090" t="s">
        <v>825</v>
      </c>
      <c r="D217" s="824" t="s">
        <v>195</v>
      </c>
      <c r="E217" s="318" t="str">
        <f>VLOOKUP(D217,Poeng!$B$10:$R$252,Poeng!E$1,FALSE)</f>
        <v xml:space="preserve">Inn 06 - Ene 01: Plus house </v>
      </c>
      <c r="F217" s="122">
        <f>Inn06_credits</f>
        <v>1</v>
      </c>
      <c r="G217" s="43"/>
      <c r="H217" s="123">
        <f>Inn06_cont</f>
        <v>0</v>
      </c>
      <c r="I217" s="129" t="str">
        <f>Inn06_minstd</f>
        <v>N/A</v>
      </c>
      <c r="J217" s="80"/>
      <c r="K217" s="281"/>
      <c r="L217" s="738"/>
      <c r="M217" s="816"/>
      <c r="N217" s="83"/>
      <c r="O217" s="123">
        <f>VLOOKUP(D217,Poeng!$B$10:$BC$252,Poeng!AF$1,FALSE)</f>
        <v>0</v>
      </c>
      <c r="P217" s="123" t="str">
        <f>VLOOKUP(D217,Poeng!$B$10:$BH$252,Poeng!BH$1,FALSE)</f>
        <v>N/A</v>
      </c>
      <c r="Q217" s="744"/>
      <c r="R217" s="745"/>
      <c r="S217" s="738"/>
      <c r="T217" s="319"/>
      <c r="U217" s="83"/>
      <c r="V217" s="123">
        <f>VLOOKUP(D217,Poeng!$B$10:$BC$252,Poeng!AG$1,FALSE)</f>
        <v>0</v>
      </c>
      <c r="W217" s="123" t="str">
        <f>VLOOKUP(D217,Poeng!$B$10:$BK$252,Poeng!BK$1,FALSE)</f>
        <v>N/A</v>
      </c>
      <c r="X217" s="81"/>
      <c r="Y217" s="80"/>
      <c r="Z217" s="738"/>
      <c r="AA217" s="133"/>
      <c r="AB217" s="640" t="s">
        <v>14</v>
      </c>
      <c r="AC217" s="107">
        <f t="shared" si="30"/>
        <v>1</v>
      </c>
      <c r="AD217" s="3" t="e">
        <f>VLOOKUP(K217,'Assessment Details'!$O$45:$P$48,2,FALSE)</f>
        <v>#N/A</v>
      </c>
      <c r="AE217" s="3" t="e">
        <f>VLOOKUP(R217,'Assessment Details'!$O$45:$P$48,2,FALSE)</f>
        <v>#N/A</v>
      </c>
      <c r="AF217" s="3" t="e">
        <f>VLOOKUP(Y217,'Assessment Details'!$O$45:$P$48,2,FALSE)</f>
        <v>#N/A</v>
      </c>
      <c r="AI217" s="70"/>
      <c r="AJ217" s="671" t="s">
        <v>250</v>
      </c>
      <c r="AK217" s="70"/>
      <c r="AL217" s="70"/>
      <c r="AM217" s="70"/>
      <c r="AN217" s="70"/>
      <c r="AO217" s="70"/>
      <c r="AP217" s="70"/>
      <c r="AS217" s="23" t="str">
        <f t="shared" si="24"/>
        <v>N/A</v>
      </c>
      <c r="AT217" s="23" t="str">
        <f t="shared" si="25"/>
        <v>N/A</v>
      </c>
      <c r="AU217" s="23" t="str">
        <f t="shared" si="26"/>
        <v>N/A</v>
      </c>
      <c r="AV217" s="23"/>
      <c r="AW217" s="23"/>
      <c r="AX217" s="23"/>
      <c r="AZ217" s="640"/>
    </row>
    <row r="218" spans="1:52" x14ac:dyDescent="0.25">
      <c r="A218" s="1076">
        <v>209</v>
      </c>
      <c r="B218" s="1077" t="s">
        <v>825</v>
      </c>
      <c r="C218" s="1090" t="s">
        <v>825</v>
      </c>
      <c r="D218" s="824" t="s">
        <v>196</v>
      </c>
      <c r="E218" s="318" t="str">
        <f>VLOOKUP(D218,Poeng!$B$10:$R$252,Poeng!E$1,FALSE)</f>
        <v>Inn 07 - Wat 01: Highly water efficient components</v>
      </c>
      <c r="F218" s="122">
        <f>Inn07_credits</f>
        <v>1</v>
      </c>
      <c r="G218" s="43"/>
      <c r="H218" s="123">
        <f>Inn07_cont</f>
        <v>0</v>
      </c>
      <c r="I218" s="129" t="str">
        <f>Inn07_minstd</f>
        <v>N/A</v>
      </c>
      <c r="J218" s="80"/>
      <c r="K218" s="281"/>
      <c r="L218" s="738"/>
      <c r="M218" s="816"/>
      <c r="N218" s="83"/>
      <c r="O218" s="123">
        <f>VLOOKUP(D218,Poeng!$B$10:$BC$252,Poeng!AF$1,FALSE)</f>
        <v>0</v>
      </c>
      <c r="P218" s="123" t="str">
        <f>VLOOKUP(D218,Poeng!$B$10:$BH$252,Poeng!BH$1,FALSE)</f>
        <v>N/A</v>
      </c>
      <c r="Q218" s="744"/>
      <c r="R218" s="745"/>
      <c r="S218" s="738"/>
      <c r="T218" s="319"/>
      <c r="U218" s="83"/>
      <c r="V218" s="123">
        <f>VLOOKUP(D218,Poeng!$B$10:$BC$252,Poeng!AG$1,FALSE)</f>
        <v>0</v>
      </c>
      <c r="W218" s="123" t="str">
        <f>VLOOKUP(D218,Poeng!$B$10:$BK$252,Poeng!BK$1,FALSE)</f>
        <v>N/A</v>
      </c>
      <c r="X218" s="81"/>
      <c r="Y218" s="80"/>
      <c r="Z218" s="738"/>
      <c r="AA218" s="133"/>
      <c r="AB218" s="640" t="s">
        <v>14</v>
      </c>
      <c r="AC218" s="107">
        <f t="shared" si="30"/>
        <v>1</v>
      </c>
      <c r="AD218" s="3" t="e">
        <f>VLOOKUP(K218,'Assessment Details'!$O$45:$P$48,2,FALSE)</f>
        <v>#N/A</v>
      </c>
      <c r="AE218" s="3" t="e">
        <f>VLOOKUP(R218,'Assessment Details'!$O$45:$P$48,2,FALSE)</f>
        <v>#N/A</v>
      </c>
      <c r="AF218" s="3" t="e">
        <f>VLOOKUP(Y218,'Assessment Details'!$O$45:$P$48,2,FALSE)</f>
        <v>#N/A</v>
      </c>
      <c r="AI218" s="70"/>
      <c r="AJ218" s="671" t="s">
        <v>340</v>
      </c>
      <c r="AK218" s="70"/>
      <c r="AL218" s="70"/>
      <c r="AM218" s="70"/>
      <c r="AN218" s="70"/>
      <c r="AO218" s="70"/>
      <c r="AP218" s="70"/>
      <c r="AS218" s="23" t="str">
        <f t="shared" si="24"/>
        <v>N/A</v>
      </c>
      <c r="AT218" s="23" t="str">
        <f t="shared" si="25"/>
        <v>N/A</v>
      </c>
      <c r="AU218" s="23" t="str">
        <f t="shared" si="26"/>
        <v>N/A</v>
      </c>
      <c r="AV218" s="23"/>
      <c r="AW218" s="23"/>
      <c r="AX218" s="23"/>
      <c r="AZ218" s="640"/>
    </row>
    <row r="219" spans="1:52" x14ac:dyDescent="0.25">
      <c r="A219" s="1076">
        <v>210</v>
      </c>
      <c r="B219" s="1077" t="s">
        <v>825</v>
      </c>
      <c r="C219" s="1090" t="s">
        <v>825</v>
      </c>
      <c r="D219" s="824" t="s">
        <v>224</v>
      </c>
      <c r="E219" s="318" t="str">
        <f>VLOOKUP(D219,Poeng!$B$10:$R$252,Poeng!E$1,FALSE)</f>
        <v xml:space="preserve">Inn 08 - Mat 01: 60% reduction of greenhouse gas emission </v>
      </c>
      <c r="F219" s="122">
        <f>Inn08_credits</f>
        <v>1</v>
      </c>
      <c r="G219" s="43"/>
      <c r="H219" s="123">
        <f>Inn08_cont</f>
        <v>0</v>
      </c>
      <c r="I219" s="129" t="str">
        <f>Inn08_minstd</f>
        <v>N/A</v>
      </c>
      <c r="J219" s="80"/>
      <c r="K219" s="281"/>
      <c r="L219" s="738"/>
      <c r="M219" s="816"/>
      <c r="N219" s="83"/>
      <c r="O219" s="123">
        <f>VLOOKUP(D219,Poeng!$B$10:$BC$252,Poeng!AF$1,FALSE)</f>
        <v>0</v>
      </c>
      <c r="P219" s="123" t="str">
        <f>VLOOKUP(D219,Poeng!$B$10:$BH$252,Poeng!BH$1,FALSE)</f>
        <v>N/A</v>
      </c>
      <c r="Q219" s="744"/>
      <c r="R219" s="745"/>
      <c r="S219" s="738"/>
      <c r="T219" s="319"/>
      <c r="U219" s="83"/>
      <c r="V219" s="123">
        <f>VLOOKUP(D219,Poeng!$B$10:$BC$252,Poeng!AG$1,FALSE)</f>
        <v>0</v>
      </c>
      <c r="W219" s="123" t="str">
        <f>VLOOKUP(D219,Poeng!$B$10:$BK$252,Poeng!BK$1,FALSE)</f>
        <v>N/A</v>
      </c>
      <c r="X219" s="81"/>
      <c r="Y219" s="80"/>
      <c r="Z219" s="738"/>
      <c r="AA219" s="133"/>
      <c r="AB219" s="640" t="s">
        <v>14</v>
      </c>
      <c r="AC219" s="107">
        <f t="shared" si="30"/>
        <v>1</v>
      </c>
      <c r="AD219" s="3" t="e">
        <f>VLOOKUP(K219,'Assessment Details'!$O$45:$P$48,2,FALSE)</f>
        <v>#N/A</v>
      </c>
      <c r="AE219" s="3" t="e">
        <f>VLOOKUP(R219,'Assessment Details'!$O$45:$P$48,2,FALSE)</f>
        <v>#N/A</v>
      </c>
      <c r="AF219" s="3" t="e">
        <f>VLOOKUP(Y219,'Assessment Details'!$O$45:$P$48,2,FALSE)</f>
        <v>#N/A</v>
      </c>
      <c r="AI219" s="70"/>
      <c r="AJ219" s="671" t="s">
        <v>402</v>
      </c>
      <c r="AK219" s="70"/>
      <c r="AL219" s="70"/>
      <c r="AM219" s="70"/>
      <c r="AN219" s="70"/>
      <c r="AO219" s="70"/>
      <c r="AP219" s="70"/>
      <c r="AS219" s="23" t="str">
        <f t="shared" si="24"/>
        <v>N/A</v>
      </c>
      <c r="AT219" s="23" t="str">
        <f t="shared" si="25"/>
        <v>N/A</v>
      </c>
      <c r="AU219" s="23" t="str">
        <f t="shared" si="26"/>
        <v>N/A</v>
      </c>
      <c r="AV219" s="23"/>
      <c r="AW219" s="23"/>
      <c r="AX219" s="23"/>
      <c r="AZ219" s="640"/>
    </row>
    <row r="220" spans="1:52" ht="34.5" customHeight="1" x14ac:dyDescent="0.25">
      <c r="A220" s="1076">
        <v>211</v>
      </c>
      <c r="B220" s="1077" t="s">
        <v>825</v>
      </c>
      <c r="C220" s="1091" t="s">
        <v>825</v>
      </c>
      <c r="D220" s="824" t="s">
        <v>254</v>
      </c>
      <c r="E220" s="340" t="str">
        <f>VLOOKUP(D220,Poeng!$B$10:$R$252,Poeng!E$1,FALSE)</f>
        <v>Inn 09 - Mat 06: FutureBuilt criteria set for circular buildings, point 2.3 reuse of building components</v>
      </c>
      <c r="F220" s="122">
        <f>Inn09_credits</f>
        <v>1</v>
      </c>
      <c r="G220" s="43"/>
      <c r="H220" s="123">
        <f>Inn09_cont</f>
        <v>0</v>
      </c>
      <c r="I220" s="129" t="str">
        <f>Inn09_minstd</f>
        <v>N/A</v>
      </c>
      <c r="J220" s="80"/>
      <c r="K220" s="281"/>
      <c r="L220" s="738"/>
      <c r="M220" s="816"/>
      <c r="N220" s="83"/>
      <c r="O220" s="123">
        <f>VLOOKUP(D220,Poeng!$B$10:$BC$252,Poeng!AF$1,FALSE)</f>
        <v>0</v>
      </c>
      <c r="P220" s="123" t="str">
        <f>VLOOKUP(D220,Poeng!$B$10:$BH$252,Poeng!BH$1,FALSE)</f>
        <v>N/A</v>
      </c>
      <c r="Q220" s="744"/>
      <c r="R220" s="745"/>
      <c r="S220" s="738"/>
      <c r="T220" s="319"/>
      <c r="U220" s="83"/>
      <c r="V220" s="123">
        <f>VLOOKUP(D220,Poeng!$B$10:$BC$252,Poeng!AG$1,FALSE)</f>
        <v>0</v>
      </c>
      <c r="W220" s="123" t="str">
        <f>VLOOKUP(D220,Poeng!$B$10:$BK$252,Poeng!BK$1,FALSE)</f>
        <v>N/A</v>
      </c>
      <c r="X220" s="81"/>
      <c r="Y220" s="80"/>
      <c r="Z220" s="738"/>
      <c r="AA220" s="133"/>
      <c r="AB220" s="640" t="s">
        <v>14</v>
      </c>
      <c r="AC220" s="107">
        <f t="shared" si="30"/>
        <v>1</v>
      </c>
      <c r="AD220" s="3" t="e">
        <f>VLOOKUP(K220,'Assessment Details'!$O$45:$P$48,2,FALSE)</f>
        <v>#N/A</v>
      </c>
      <c r="AE220" s="3" t="e">
        <f>VLOOKUP(R220,'Assessment Details'!$O$45:$P$48,2,FALSE)</f>
        <v>#N/A</v>
      </c>
      <c r="AF220" s="3" t="e">
        <f>VLOOKUP(Y220,'Assessment Details'!$O$45:$P$48,2,FALSE)</f>
        <v>#N/A</v>
      </c>
      <c r="AI220" s="70"/>
      <c r="AJ220" s="671" t="s">
        <v>341</v>
      </c>
      <c r="AK220" s="70"/>
      <c r="AL220" s="70"/>
      <c r="AM220" s="70"/>
      <c r="AN220" s="70"/>
      <c r="AO220" s="70"/>
      <c r="AP220" s="70"/>
      <c r="AS220" s="23" t="str">
        <f t="shared" si="24"/>
        <v>N/A</v>
      </c>
      <c r="AT220" s="23" t="str">
        <f t="shared" si="25"/>
        <v>N/A</v>
      </c>
      <c r="AU220" s="23" t="str">
        <f t="shared" si="26"/>
        <v>N/A</v>
      </c>
      <c r="AV220" s="23"/>
      <c r="AW220" s="23"/>
      <c r="AX220" s="23"/>
      <c r="AZ220" s="640"/>
    </row>
    <row r="221" spans="1:52" x14ac:dyDescent="0.25">
      <c r="A221" s="1076">
        <v>212</v>
      </c>
      <c r="B221" s="1077" t="s">
        <v>825</v>
      </c>
      <c r="C221" s="1090" t="s">
        <v>825</v>
      </c>
      <c r="D221" s="824" t="s">
        <v>474</v>
      </c>
      <c r="E221" s="318" t="str">
        <f>VLOOKUP(D221,Poeng!$B$10:$R$252,Poeng!E$1,FALSE)</f>
        <v xml:space="preserve">Inn 10 - Wst 01: Especially low amount of construction waste </v>
      </c>
      <c r="F221" s="713">
        <f>Inn10_credits</f>
        <v>1</v>
      </c>
      <c r="G221" s="43"/>
      <c r="H221" s="123">
        <f>Inn10_cont</f>
        <v>0</v>
      </c>
      <c r="I221" s="129" t="str">
        <f>Inn10_minstd</f>
        <v>N/A</v>
      </c>
      <c r="J221" s="80"/>
      <c r="K221" s="281"/>
      <c r="L221" s="738"/>
      <c r="M221" s="816"/>
      <c r="N221" s="83"/>
      <c r="O221" s="123">
        <f>VLOOKUP(D221,Poeng!$B$10:$BC$252,Poeng!AF$1,FALSE)</f>
        <v>0</v>
      </c>
      <c r="P221" s="123" t="str">
        <f>VLOOKUP(D221,Poeng!$B$10:$BH$252,Poeng!BH$1,FALSE)</f>
        <v>N/A</v>
      </c>
      <c r="Q221" s="744"/>
      <c r="R221" s="745"/>
      <c r="S221" s="738"/>
      <c r="T221" s="319"/>
      <c r="U221" s="83"/>
      <c r="V221" s="123">
        <f>VLOOKUP(D221,Poeng!$B$10:$BC$252,Poeng!AG$1,FALSE)</f>
        <v>0</v>
      </c>
      <c r="W221" s="123" t="str">
        <f>VLOOKUP(D221,Poeng!$B$10:$BK$252,Poeng!BK$1,FALSE)</f>
        <v>N/A</v>
      </c>
      <c r="X221" s="81"/>
      <c r="Y221" s="80"/>
      <c r="Z221" s="738"/>
      <c r="AA221" s="133"/>
      <c r="AB221" s="714"/>
      <c r="AC221" s="107">
        <f t="shared" si="30"/>
        <v>1</v>
      </c>
      <c r="AD221" s="3" t="e">
        <f>VLOOKUP(K221,'Assessment Details'!$O$45:$P$48,2,FALSE)</f>
        <v>#N/A</v>
      </c>
      <c r="AE221" s="3" t="e">
        <f>VLOOKUP(R221,'Assessment Details'!$O$45:$P$48,2,FALSE)</f>
        <v>#N/A</v>
      </c>
      <c r="AF221" s="3" t="e">
        <f>VLOOKUP(Y221,'Assessment Details'!$O$45:$P$48,2,FALSE)</f>
        <v>#N/A</v>
      </c>
      <c r="AI221" s="70"/>
      <c r="AJ221" s="671"/>
      <c r="AK221" s="70"/>
      <c r="AL221" s="70"/>
      <c r="AM221" s="70"/>
      <c r="AN221" s="70"/>
      <c r="AO221" s="70"/>
      <c r="AP221" s="70"/>
      <c r="AS221" s="23"/>
      <c r="AT221" s="23"/>
      <c r="AU221" s="23"/>
      <c r="AV221" s="23"/>
      <c r="AW221" s="23"/>
      <c r="AX221" s="23"/>
      <c r="AZ221" s="714"/>
    </row>
    <row r="222" spans="1:52" x14ac:dyDescent="0.25">
      <c r="A222" s="1076">
        <v>213</v>
      </c>
      <c r="B222" s="1077" t="s">
        <v>825</v>
      </c>
      <c r="C222" s="1090" t="s">
        <v>825</v>
      </c>
      <c r="D222" s="824" t="s">
        <v>475</v>
      </c>
      <c r="E222" s="318" t="str">
        <f>VLOOKUP(D222,Poeng!$B$10:$R$252,Poeng!E$1,FALSE)</f>
        <v>Inn 11 - LE 02: Wider sustainability for the site</v>
      </c>
      <c r="F222" s="713">
        <f>Inn11_credits</f>
        <v>1</v>
      </c>
      <c r="G222" s="43"/>
      <c r="H222" s="123">
        <f>Inn11_cont</f>
        <v>0</v>
      </c>
      <c r="I222" s="129" t="str">
        <f>Inn11_minstd</f>
        <v>N/A</v>
      </c>
      <c r="J222" s="80"/>
      <c r="K222" s="281"/>
      <c r="L222" s="738"/>
      <c r="M222" s="816"/>
      <c r="N222" s="83"/>
      <c r="O222" s="123">
        <f>VLOOKUP(D222,Poeng!$B$10:$BC$252,Poeng!AF$1,FALSE)</f>
        <v>0</v>
      </c>
      <c r="P222" s="123" t="str">
        <f>VLOOKUP(D222,Poeng!$B$10:$BH$252,Poeng!BH$1,FALSE)</f>
        <v>N/A</v>
      </c>
      <c r="Q222" s="744"/>
      <c r="R222" s="745"/>
      <c r="S222" s="738"/>
      <c r="T222" s="319"/>
      <c r="U222" s="83"/>
      <c r="V222" s="123">
        <f>VLOOKUP(D222,Poeng!$B$10:$BC$252,Poeng!AG$1,FALSE)</f>
        <v>0</v>
      </c>
      <c r="W222" s="123" t="str">
        <f>VLOOKUP(D222,Poeng!$B$10:$BK$252,Poeng!BK$1,FALSE)</f>
        <v>N/A</v>
      </c>
      <c r="X222" s="81"/>
      <c r="Y222" s="80"/>
      <c r="Z222" s="738"/>
      <c r="AA222" s="133"/>
      <c r="AB222" s="714"/>
      <c r="AC222" s="107">
        <f t="shared" si="30"/>
        <v>1</v>
      </c>
      <c r="AD222" s="3" t="e">
        <f>VLOOKUP(K222,'Assessment Details'!$O$45:$P$48,2,FALSE)</f>
        <v>#N/A</v>
      </c>
      <c r="AE222" s="3" t="e">
        <f>VLOOKUP(R222,'Assessment Details'!$O$45:$P$48,2,FALSE)</f>
        <v>#N/A</v>
      </c>
      <c r="AF222" s="3" t="e">
        <f>VLOOKUP(Y222,'Assessment Details'!$O$45:$P$48,2,FALSE)</f>
        <v>#N/A</v>
      </c>
      <c r="AI222" s="70"/>
      <c r="AJ222" s="671"/>
      <c r="AK222" s="70"/>
      <c r="AL222" s="70"/>
      <c r="AM222" s="70"/>
      <c r="AN222" s="70"/>
      <c r="AO222" s="70"/>
      <c r="AP222" s="70"/>
      <c r="AS222" s="23"/>
      <c r="AT222" s="23"/>
      <c r="AU222" s="23"/>
      <c r="AV222" s="23"/>
      <c r="AW222" s="23"/>
      <c r="AX222" s="23"/>
      <c r="AZ222" s="714"/>
    </row>
    <row r="223" spans="1:52" x14ac:dyDescent="0.25">
      <c r="A223" s="1076">
        <v>214</v>
      </c>
      <c r="B223" s="1077" t="s">
        <v>825</v>
      </c>
      <c r="C223" s="1090" t="s">
        <v>825</v>
      </c>
      <c r="D223" s="824" t="s">
        <v>476</v>
      </c>
      <c r="E223" s="318" t="str">
        <f>VLOOKUP(D223,Poeng!$B$10:$R$252,Poeng!E$1,FALSE)</f>
        <v>Inn 12 - LE 04: Significant net gain of biodiversity</v>
      </c>
      <c r="F223" s="713">
        <f>Inn12_credits</f>
        <v>1</v>
      </c>
      <c r="G223" s="43"/>
      <c r="H223" s="123">
        <f>Inn12_cont</f>
        <v>0</v>
      </c>
      <c r="I223" s="129" t="str">
        <f>Inn12_minstd</f>
        <v>N/A</v>
      </c>
      <c r="J223" s="80"/>
      <c r="K223" s="281"/>
      <c r="L223" s="738"/>
      <c r="M223" s="816"/>
      <c r="N223" s="83"/>
      <c r="O223" s="123">
        <f>VLOOKUP(D223,Poeng!$B$10:$BC$252,Poeng!AF$1,FALSE)</f>
        <v>0</v>
      </c>
      <c r="P223" s="123" t="str">
        <f>VLOOKUP(D223,Poeng!$B$10:$BH$252,Poeng!BH$1,FALSE)</f>
        <v>N/A</v>
      </c>
      <c r="Q223" s="744"/>
      <c r="R223" s="745"/>
      <c r="S223" s="738"/>
      <c r="T223" s="319"/>
      <c r="U223" s="83"/>
      <c r="V223" s="123">
        <f>VLOOKUP(D223,Poeng!$B$10:$BC$252,Poeng!AG$1,FALSE)</f>
        <v>0</v>
      </c>
      <c r="W223" s="123" t="str">
        <f>VLOOKUP(D223,Poeng!$B$10:$BK$252,Poeng!BK$1,FALSE)</f>
        <v>N/A</v>
      </c>
      <c r="X223" s="81"/>
      <c r="Y223" s="80"/>
      <c r="Z223" s="738"/>
      <c r="AA223" s="133"/>
      <c r="AB223" s="714"/>
      <c r="AC223" s="107">
        <f t="shared" si="30"/>
        <v>1</v>
      </c>
      <c r="AD223" s="3" t="e">
        <f>VLOOKUP(K223,'Assessment Details'!$O$45:$P$48,2,FALSE)</f>
        <v>#N/A</v>
      </c>
      <c r="AE223" s="3" t="e">
        <f>VLOOKUP(R223,'Assessment Details'!$O$45:$P$48,2,FALSE)</f>
        <v>#N/A</v>
      </c>
      <c r="AF223" s="3" t="e">
        <f>VLOOKUP(Y223,'Assessment Details'!$O$45:$P$48,2,FALSE)</f>
        <v>#N/A</v>
      </c>
      <c r="AI223" s="70"/>
      <c r="AJ223" s="671"/>
      <c r="AK223" s="70"/>
      <c r="AL223" s="70"/>
      <c r="AM223" s="70"/>
      <c r="AN223" s="70"/>
      <c r="AO223" s="70"/>
      <c r="AP223" s="70"/>
      <c r="AS223" s="23"/>
      <c r="AT223" s="23"/>
      <c r="AU223" s="23"/>
      <c r="AV223" s="23"/>
      <c r="AW223" s="23"/>
      <c r="AX223" s="23"/>
      <c r="AZ223" s="714"/>
    </row>
    <row r="224" spans="1:52" x14ac:dyDescent="0.25">
      <c r="A224" s="1076">
        <v>215</v>
      </c>
      <c r="B224" s="1077" t="s">
        <v>825</v>
      </c>
      <c r="C224" s="1090" t="s">
        <v>825</v>
      </c>
      <c r="D224" s="824" t="s">
        <v>477</v>
      </c>
      <c r="E224" s="318" t="str">
        <f>VLOOKUP(D224,Poeng!$B$10:$R$252,Poeng!E$1,FALSE)</f>
        <v>Inn 13 - LE 06: Responding to climate change</v>
      </c>
      <c r="F224" s="713">
        <f>Inn13_credits</f>
        <v>1</v>
      </c>
      <c r="G224" s="43"/>
      <c r="H224" s="123">
        <f>Inn13_cont</f>
        <v>0</v>
      </c>
      <c r="I224" s="129" t="str">
        <f>Inn13_minstd</f>
        <v>N/A</v>
      </c>
      <c r="J224" s="80"/>
      <c r="K224" s="281"/>
      <c r="L224" s="738"/>
      <c r="M224" s="816"/>
      <c r="N224" s="83"/>
      <c r="O224" s="123">
        <f>VLOOKUP(D224,Poeng!$B$10:$BC$252,Poeng!AF$1,FALSE)</f>
        <v>0</v>
      </c>
      <c r="P224" s="123" t="str">
        <f>VLOOKUP(D224,Poeng!$B$10:$BH$252,Poeng!BH$1,FALSE)</f>
        <v>N/A</v>
      </c>
      <c r="Q224" s="744"/>
      <c r="R224" s="745"/>
      <c r="S224" s="738"/>
      <c r="T224" s="319"/>
      <c r="U224" s="83"/>
      <c r="V224" s="123">
        <f>VLOOKUP(D224,Poeng!$B$10:$BC$252,Poeng!AG$1,FALSE)</f>
        <v>0</v>
      </c>
      <c r="W224" s="123" t="str">
        <f>VLOOKUP(D224,Poeng!$B$10:$BK$252,Poeng!BK$1,FALSE)</f>
        <v>N/A</v>
      </c>
      <c r="X224" s="81"/>
      <c r="Y224" s="80"/>
      <c r="Z224" s="738"/>
      <c r="AA224" s="133"/>
      <c r="AB224" s="714"/>
      <c r="AC224" s="107">
        <f t="shared" si="30"/>
        <v>1</v>
      </c>
      <c r="AD224" s="3" t="e">
        <f>VLOOKUP(K224,'Assessment Details'!$O$45:$P$48,2,FALSE)</f>
        <v>#N/A</v>
      </c>
      <c r="AE224" s="3" t="e">
        <f>VLOOKUP(R224,'Assessment Details'!$O$45:$P$48,2,FALSE)</f>
        <v>#N/A</v>
      </c>
      <c r="AF224" s="3" t="e">
        <f>VLOOKUP(Y224,'Assessment Details'!$O$45:$P$48,2,FALSE)</f>
        <v>#N/A</v>
      </c>
      <c r="AI224" s="70"/>
      <c r="AJ224" s="671"/>
      <c r="AK224" s="70"/>
      <c r="AL224" s="70"/>
      <c r="AM224" s="70"/>
      <c r="AN224" s="70"/>
      <c r="AO224" s="70"/>
      <c r="AP224" s="70"/>
      <c r="AS224" s="23"/>
      <c r="AT224" s="23"/>
      <c r="AU224" s="23"/>
      <c r="AV224" s="23"/>
      <c r="AW224" s="23"/>
      <c r="AX224" s="23"/>
      <c r="AZ224" s="714"/>
    </row>
    <row r="225" spans="1:52" x14ac:dyDescent="0.25">
      <c r="A225" s="1076">
        <v>216</v>
      </c>
      <c r="B225" s="1077" t="s">
        <v>825</v>
      </c>
      <c r="C225" s="1080" t="s">
        <v>825</v>
      </c>
      <c r="D225" s="824" t="s">
        <v>698</v>
      </c>
      <c r="E225" s="318" t="str">
        <f>VLOOKUP(D225,Poeng!$B$10:$R$252,Poeng!E$1,FALSE)</f>
        <v>Inn 14 - LE 08: Wider approach to surface water management</v>
      </c>
      <c r="F225" s="713">
        <f>Poeng!AB230</f>
        <v>1</v>
      </c>
      <c r="G225" s="43"/>
      <c r="H225" s="862">
        <f>Poeng!AE230</f>
        <v>0</v>
      </c>
      <c r="I225" s="863" t="str">
        <f>Poeng!BE230</f>
        <v>N/A</v>
      </c>
      <c r="J225" s="80"/>
      <c r="K225" s="281"/>
      <c r="L225" s="738"/>
      <c r="M225" s="816"/>
      <c r="N225" s="83"/>
      <c r="O225" s="123">
        <f>VLOOKUP(D225,Poeng!$B$10:$BC$252,Poeng!AF$1,FALSE)</f>
        <v>0</v>
      </c>
      <c r="P225" s="123" t="str">
        <f>VLOOKUP(D225,Poeng!$B$10:$BH$252,Poeng!BH$1,FALSE)</f>
        <v>N/A</v>
      </c>
      <c r="Q225" s="744"/>
      <c r="R225" s="745"/>
      <c r="S225" s="738"/>
      <c r="T225" s="319"/>
      <c r="U225" s="83"/>
      <c r="V225" s="123">
        <f>VLOOKUP(D225,Poeng!$B$10:$BC$252,Poeng!AG$1,FALSE)</f>
        <v>0</v>
      </c>
      <c r="W225" s="123" t="str">
        <f>VLOOKUP(D225,Poeng!$B$10:$BK$252,Poeng!BK$1,FALSE)</f>
        <v>N/A</v>
      </c>
      <c r="X225" s="81"/>
      <c r="Y225" s="80"/>
      <c r="Z225" s="738"/>
      <c r="AA225" s="133"/>
      <c r="AB225" s="714"/>
      <c r="AC225" s="107">
        <f t="shared" si="30"/>
        <v>1</v>
      </c>
      <c r="AD225" s="3" t="e">
        <f>VLOOKUP(K225,'Assessment Details'!$O$45:$P$48,2,FALSE)</f>
        <v>#N/A</v>
      </c>
      <c r="AE225" s="3" t="e">
        <f>VLOOKUP(R225,'Assessment Details'!$O$45:$P$48,2,FALSE)</f>
        <v>#N/A</v>
      </c>
      <c r="AF225" s="3" t="e">
        <f>VLOOKUP(Y225,'Assessment Details'!$O$45:$P$48,2,FALSE)</f>
        <v>#N/A</v>
      </c>
      <c r="AI225" s="70"/>
      <c r="AJ225" s="671"/>
      <c r="AK225" s="70"/>
      <c r="AL225" s="70"/>
      <c r="AM225" s="70"/>
      <c r="AN225" s="70"/>
      <c r="AO225" s="70"/>
      <c r="AP225" s="70"/>
      <c r="AS225" s="23"/>
      <c r="AT225" s="23"/>
      <c r="AU225" s="23"/>
      <c r="AV225" s="23"/>
      <c r="AW225" s="23"/>
      <c r="AX225" s="23"/>
      <c r="AZ225" s="714"/>
    </row>
    <row r="226" spans="1:52" ht="15" customHeight="1" thickBot="1" x14ac:dyDescent="0.3">
      <c r="A226" s="1076">
        <v>217</v>
      </c>
      <c r="B226" s="1077" t="s">
        <v>825</v>
      </c>
      <c r="C226" s="1081" t="s">
        <v>825</v>
      </c>
      <c r="D226" s="824" t="s">
        <v>891</v>
      </c>
      <c r="E226" s="341" t="s">
        <v>84</v>
      </c>
      <c r="F226" s="125">
        <f>Inn_Credits</f>
        <v>10</v>
      </c>
      <c r="G226" s="131"/>
      <c r="H226" s="126">
        <f>Inn_cont_tot</f>
        <v>0</v>
      </c>
      <c r="I226" s="867" t="str">
        <f>"Credits achieved: "&amp;Inn_tot_user</f>
        <v>Credits achieved: 0</v>
      </c>
      <c r="J226" s="134"/>
      <c r="K226" s="282"/>
      <c r="L226" s="746"/>
      <c r="M226" s="816"/>
      <c r="N226" s="383"/>
      <c r="O226" s="126">
        <f>VLOOKUP(D226,Poeng!$B$10:$BC$252,Poeng!AF$1,FALSE)</f>
        <v>0</v>
      </c>
      <c r="P226" s="867" t="str">
        <f>"Credits achieved: "&amp;Inn_d_user</f>
        <v>Credits achieved: 0</v>
      </c>
      <c r="Q226" s="747"/>
      <c r="R226" s="748"/>
      <c r="S226" s="746"/>
      <c r="T226" s="319"/>
      <c r="U226" s="383"/>
      <c r="V226" s="126">
        <f>VLOOKUP(D226,Poeng!$B$10:$BC$252,Poeng!AG$1,FALSE)</f>
        <v>0</v>
      </c>
      <c r="W226" s="867" t="str">
        <f>"Credits achieved: "&amp;Inn_c_user</f>
        <v>Credits achieved: 0</v>
      </c>
      <c r="X226" s="382"/>
      <c r="Y226" s="136"/>
      <c r="Z226" s="756"/>
      <c r="AA226" s="133"/>
      <c r="AB226" s="641"/>
      <c r="AC226" s="107">
        <f t="shared" si="30"/>
        <v>1</v>
      </c>
      <c r="AD226" s="276">
        <v>0</v>
      </c>
      <c r="AE226" s="276">
        <v>0</v>
      </c>
      <c r="AF226" s="276">
        <v>0</v>
      </c>
      <c r="AI226" s="70"/>
      <c r="AJ226" s="671" t="s">
        <v>84</v>
      </c>
      <c r="AK226" s="70"/>
      <c r="AL226" s="70"/>
      <c r="AM226" s="70"/>
      <c r="AN226" s="70"/>
      <c r="AO226" s="70"/>
      <c r="AP226" s="70"/>
      <c r="AS226" s="23" t="str">
        <f t="shared" si="24"/>
        <v>N/A</v>
      </c>
      <c r="AT226" s="23" t="str">
        <f t="shared" si="25"/>
        <v>N/A</v>
      </c>
      <c r="AU226" s="23" t="str">
        <f t="shared" si="26"/>
        <v>N/A</v>
      </c>
      <c r="AV226" s="23"/>
      <c r="AW226" s="23"/>
      <c r="AX226" s="23"/>
      <c r="AZ226" s="641"/>
    </row>
    <row r="227" spans="1:52" x14ac:dyDescent="0.25">
      <c r="A227" s="1076"/>
      <c r="B227" s="1077"/>
      <c r="C227" s="1072"/>
      <c r="D227" s="824"/>
      <c r="E227" s="45"/>
      <c r="F227" s="3"/>
      <c r="G227" s="3"/>
      <c r="H227" s="3"/>
      <c r="I227" s="3"/>
      <c r="J227" s="45"/>
      <c r="K227" s="3"/>
      <c r="L227" s="757"/>
      <c r="M227" s="817"/>
      <c r="N227" s="586"/>
      <c r="O227" s="586"/>
      <c r="P227" s="3"/>
      <c r="Q227" s="27"/>
      <c r="R227" s="757"/>
      <c r="S227" s="757"/>
      <c r="T227" s="277"/>
      <c r="U227" s="279"/>
      <c r="V227" s="279"/>
      <c r="W227" s="3"/>
      <c r="X227" s="280"/>
      <c r="Y227" s="279"/>
      <c r="Z227" s="757"/>
      <c r="AA227" s="277"/>
      <c r="AB227" s="277"/>
      <c r="AC227" s="107"/>
      <c r="AD227" s="278"/>
      <c r="AE227" s="278"/>
      <c r="AF227" s="278"/>
      <c r="AJ227" s="3"/>
    </row>
    <row r="228" spans="1:52" x14ac:dyDescent="0.25">
      <c r="A228" s="1078"/>
      <c r="B228" s="1079"/>
      <c r="C228" s="825"/>
      <c r="D228" s="825"/>
      <c r="E228" s="31"/>
      <c r="M228" s="121"/>
      <c r="N228" s="820"/>
      <c r="O228" s="820"/>
      <c r="P228" s="820"/>
      <c r="Q228" s="758"/>
      <c r="R228" s="758"/>
      <c r="S228" s="759"/>
      <c r="T228" s="271"/>
      <c r="U228" s="8"/>
      <c r="V228" s="8"/>
      <c r="W228" s="820"/>
      <c r="X228" s="8"/>
      <c r="Y228" s="8"/>
      <c r="Z228" s="759"/>
      <c r="AA228" s="271"/>
      <c r="AB228" s="271"/>
      <c r="AC228" s="107"/>
      <c r="AD228" s="1"/>
      <c r="AE228" s="1"/>
      <c r="AF228" s="1"/>
      <c r="AJ228" s="3"/>
    </row>
    <row r="229" spans="1:52" x14ac:dyDescent="0.25">
      <c r="A229" s="1079"/>
      <c r="B229" s="1079"/>
      <c r="C229" s="825"/>
      <c r="D229" s="825"/>
      <c r="E229" s="286"/>
      <c r="F229" s="18"/>
      <c r="M229" s="121"/>
      <c r="N229" s="820"/>
      <c r="O229" s="820"/>
      <c r="P229" s="820"/>
      <c r="Q229" s="758"/>
      <c r="R229" s="758"/>
      <c r="S229" s="760"/>
      <c r="T229" s="271"/>
      <c r="U229" s="8"/>
      <c r="V229" s="8"/>
      <c r="W229" s="820"/>
      <c r="X229" s="8"/>
      <c r="Y229" s="8"/>
      <c r="Z229" s="760"/>
      <c r="AA229" s="271"/>
      <c r="AB229" s="271"/>
      <c r="AC229" s="107"/>
      <c r="AD229" s="1"/>
      <c r="AE229" s="1"/>
      <c r="AF229" s="1"/>
      <c r="AJ229" s="3"/>
    </row>
    <row r="230" spans="1:52" x14ac:dyDescent="0.25">
      <c r="D230" s="19"/>
      <c r="E230" s="31"/>
      <c r="F230" s="26"/>
      <c r="M230" s="121"/>
      <c r="N230" s="820"/>
      <c r="O230" s="820"/>
      <c r="P230" s="820"/>
      <c r="Q230" s="758"/>
      <c r="R230" s="758"/>
      <c r="S230" s="759"/>
      <c r="T230" s="271"/>
      <c r="U230" s="8"/>
      <c r="V230" s="8"/>
      <c r="W230" s="8"/>
      <c r="X230" s="8"/>
      <c r="Y230" s="8"/>
      <c r="Z230" s="759"/>
      <c r="AA230" s="271"/>
      <c r="AB230" s="271"/>
      <c r="AC230" s="107"/>
      <c r="AD230" s="1"/>
      <c r="AE230" s="1"/>
      <c r="AF230" s="1"/>
      <c r="AJ230" s="3"/>
    </row>
    <row r="231" spans="1:52" x14ac:dyDescent="0.25">
      <c r="D231" s="19"/>
      <c r="E231" s="32"/>
      <c r="F231" s="18"/>
      <c r="M231" s="121"/>
      <c r="N231" s="820"/>
      <c r="O231" s="820"/>
      <c r="P231" s="820"/>
      <c r="Q231" s="758"/>
      <c r="R231" s="758"/>
      <c r="S231" s="760"/>
      <c r="T231" s="271"/>
      <c r="U231" s="8"/>
      <c r="V231" s="8"/>
      <c r="W231" s="8"/>
      <c r="X231" s="8"/>
      <c r="Y231" s="8"/>
      <c r="Z231" s="760"/>
      <c r="AA231" s="271"/>
      <c r="AB231" s="271"/>
      <c r="AC231" s="107"/>
      <c r="AD231" s="1"/>
      <c r="AE231" s="1"/>
      <c r="AF231" s="1"/>
      <c r="AJ231" s="3"/>
    </row>
    <row r="232" spans="1:52" x14ac:dyDescent="0.25">
      <c r="D232" s="19"/>
      <c r="E232" s="31"/>
      <c r="F232" s="26"/>
      <c r="M232" s="121"/>
      <c r="N232" s="820"/>
      <c r="O232" s="820"/>
      <c r="P232" s="820"/>
      <c r="Q232" s="758"/>
      <c r="R232" s="758"/>
      <c r="S232" s="759"/>
      <c r="T232" s="271"/>
      <c r="U232" s="8"/>
      <c r="V232" s="8"/>
      <c r="W232" s="8"/>
      <c r="X232" s="8"/>
      <c r="Y232" s="8"/>
      <c r="Z232" s="759"/>
      <c r="AA232" s="271"/>
      <c r="AB232" s="271"/>
      <c r="AC232" s="107"/>
      <c r="AD232" s="27"/>
      <c r="AE232" s="27"/>
      <c r="AF232" s="27"/>
      <c r="AG232" s="27"/>
      <c r="AH232" s="27"/>
      <c r="AI232" s="27"/>
      <c r="AJ232" s="3"/>
      <c r="AY232" s="27"/>
      <c r="AZ232" s="27"/>
    </row>
    <row r="233" spans="1:52" x14ac:dyDescent="0.25">
      <c r="D233" s="19"/>
      <c r="M233" s="121"/>
      <c r="N233" s="820"/>
      <c r="O233" s="820"/>
      <c r="P233" s="820"/>
      <c r="Q233" s="758"/>
      <c r="R233" s="758"/>
      <c r="S233" s="758"/>
      <c r="T233" s="271"/>
      <c r="U233" s="8"/>
      <c r="V233" s="8"/>
      <c r="W233" s="8"/>
      <c r="X233" s="8"/>
      <c r="Y233" s="8"/>
      <c r="Z233" s="758"/>
      <c r="AA233" s="271"/>
      <c r="AB233" s="271"/>
      <c r="AC233" s="107"/>
      <c r="AD233" s="1"/>
      <c r="AE233" s="1"/>
      <c r="AF233" s="1"/>
      <c r="AJ233" s="27"/>
      <c r="AK233" s="27"/>
      <c r="AL233" s="27"/>
      <c r="AM233" s="27"/>
      <c r="AN233" s="27"/>
      <c r="AO233" s="27"/>
      <c r="AP233" s="27"/>
      <c r="AS233" s="27"/>
      <c r="AT233" s="27"/>
      <c r="AU233" s="27"/>
      <c r="AV233" s="27"/>
      <c r="AW233" s="27"/>
      <c r="AX233" s="27"/>
    </row>
    <row r="234" spans="1:52" x14ac:dyDescent="0.25">
      <c r="D234" s="19"/>
      <c r="M234" s="121"/>
      <c r="N234" s="820"/>
      <c r="O234" s="820"/>
      <c r="P234" s="820"/>
      <c r="Q234" s="758"/>
      <c r="R234" s="758"/>
      <c r="S234" s="758"/>
      <c r="T234" s="271"/>
      <c r="U234" s="8"/>
      <c r="V234" s="8"/>
      <c r="W234" s="8"/>
      <c r="X234" s="8"/>
      <c r="Y234" s="8"/>
      <c r="Z234" s="758"/>
      <c r="AA234" s="271"/>
      <c r="AB234" s="271"/>
      <c r="AC234" s="107"/>
      <c r="AD234" s="1"/>
      <c r="AE234" s="1"/>
      <c r="AF234" s="1"/>
      <c r="AJ234" s="3"/>
    </row>
    <row r="235" spans="1:52" x14ac:dyDescent="0.25">
      <c r="D235" s="19"/>
      <c r="M235" s="121"/>
      <c r="N235" s="820"/>
      <c r="O235" s="820"/>
      <c r="P235" s="820"/>
      <c r="Q235" s="758"/>
      <c r="R235" s="758"/>
      <c r="S235" s="758"/>
      <c r="T235" s="271"/>
      <c r="U235" s="8"/>
      <c r="V235" s="8"/>
      <c r="W235" s="8"/>
      <c r="X235" s="8"/>
      <c r="Y235" s="8"/>
      <c r="Z235" s="758"/>
      <c r="AA235" s="271"/>
      <c r="AB235" s="271"/>
      <c r="AC235" s="107"/>
      <c r="AD235" s="1"/>
      <c r="AE235" s="1"/>
      <c r="AF235" s="1"/>
      <c r="AJ235" s="3"/>
    </row>
    <row r="236" spans="1:52" hidden="1" x14ac:dyDescent="0.25">
      <c r="B236" s="824" t="s">
        <v>65</v>
      </c>
      <c r="C236" s="824"/>
      <c r="D236" s="824"/>
      <c r="E236" s="318" t="str">
        <f>Hea02_Crit1</f>
        <v>Pre-requisite: A site-specific indoor air quality plan has been produced</v>
      </c>
      <c r="F236" s="122" t="str">
        <f>Hea02_Crit1_credits</f>
        <v>Yes/No</v>
      </c>
      <c r="G236" s="43"/>
      <c r="H236" s="123"/>
      <c r="I236" s="127" t="str">
        <f>Hea02_minst_crit</f>
        <v>Unclassified</v>
      </c>
      <c r="J236" s="80"/>
      <c r="K236" s="281" t="s">
        <v>296</v>
      </c>
      <c r="L236" s="738"/>
      <c r="M236" s="815"/>
      <c r="N236" s="83"/>
      <c r="O236" s="878"/>
      <c r="P236" s="878"/>
      <c r="Q236" s="744"/>
      <c r="R236" s="745"/>
      <c r="S236" s="738"/>
      <c r="T236" s="319"/>
      <c r="U236" s="83"/>
      <c r="V236" s="878"/>
      <c r="W236" s="878"/>
      <c r="X236" s="81"/>
      <c r="Y236" s="80"/>
      <c r="Z236" s="738"/>
      <c r="AA236" s="133"/>
      <c r="AB236" s="640" t="s">
        <v>14</v>
      </c>
      <c r="AC236" s="107">
        <f>AC46</f>
        <v>1</v>
      </c>
      <c r="AD236" s="3">
        <f>VLOOKUP(K236,'Assessment Details'!$O$45:$P$48,2,FALSE)</f>
        <v>3</v>
      </c>
      <c r="AE236" s="3" t="e">
        <f>VLOOKUP(R236,'Assessment Details'!$O$45:$P$48,2,FALSE)</f>
        <v>#N/A</v>
      </c>
      <c r="AF236" s="3" t="e">
        <f>VLOOKUP(Y236,'Assessment Details'!$O$45:$P$48,2,FALSE)</f>
        <v>#N/A</v>
      </c>
      <c r="AI236" s="70"/>
      <c r="AJ236" s="671" t="s">
        <v>262</v>
      </c>
      <c r="AK236" s="70"/>
      <c r="AL236" s="70"/>
      <c r="AM236" s="70"/>
      <c r="AN236" s="70"/>
      <c r="AO236" s="70"/>
      <c r="AP236" s="70"/>
      <c r="AS236" s="23" t="str">
        <f>IF($AJ$4=ais_nei,AIS_NA,IF(AK236="",AIS_NA,AK236))</f>
        <v>N/A</v>
      </c>
      <c r="AT236" s="23" t="str">
        <f>IF($AJ$4=ais_nei,AIS_NA,IF(AL236="",AIS_NA,AL236))</f>
        <v>N/A</v>
      </c>
      <c r="AU236" s="23" t="str">
        <f>IF($AJ$4=ais_nei,AIS_NA,IF(AM236="",AIS_NA,AM236))</f>
        <v>N/A</v>
      </c>
      <c r="AV236" s="23"/>
      <c r="AW236" s="23"/>
      <c r="AX236" s="23"/>
      <c r="AZ236" s="640"/>
    </row>
    <row r="237" spans="1:52" hidden="1" x14ac:dyDescent="0.25">
      <c r="D237" s="19"/>
      <c r="M237" s="121"/>
      <c r="N237" s="820"/>
      <c r="O237" s="820"/>
      <c r="P237" s="820"/>
      <c r="Q237" s="758"/>
      <c r="R237" s="758"/>
      <c r="S237" s="758"/>
      <c r="T237" s="271"/>
      <c r="U237" s="8"/>
      <c r="V237" s="8"/>
      <c r="W237" s="8"/>
      <c r="X237" s="8"/>
      <c r="Y237" s="8"/>
      <c r="Z237" s="758"/>
      <c r="AA237" s="271"/>
      <c r="AB237" s="271"/>
      <c r="AC237" s="107"/>
      <c r="AD237" s="1"/>
      <c r="AE237" s="1"/>
      <c r="AF237" s="1"/>
      <c r="AJ237" s="3"/>
    </row>
    <row r="238" spans="1:52" hidden="1" x14ac:dyDescent="0.25">
      <c r="D238" s="19"/>
      <c r="M238" s="121"/>
      <c r="N238" s="820"/>
      <c r="O238" s="820"/>
      <c r="P238" s="820"/>
      <c r="Q238" s="758"/>
      <c r="R238" s="758"/>
      <c r="S238" s="758"/>
      <c r="T238" s="271"/>
      <c r="U238" s="8"/>
      <c r="V238" s="8"/>
      <c r="W238" s="8"/>
      <c r="X238" s="8"/>
      <c r="Y238" s="8"/>
      <c r="Z238" s="758"/>
      <c r="AA238" s="271"/>
      <c r="AB238" s="271"/>
      <c r="AC238" s="107"/>
      <c r="AD238" s="1"/>
      <c r="AE238" s="1"/>
      <c r="AF238" s="1"/>
      <c r="AJ238" s="3"/>
    </row>
    <row r="239" spans="1:52" hidden="1" x14ac:dyDescent="0.25">
      <c r="D239" s="19"/>
      <c r="M239" s="121"/>
      <c r="N239" s="820"/>
      <c r="O239" s="820"/>
      <c r="P239" s="820"/>
      <c r="Q239" s="758"/>
      <c r="R239" s="758"/>
      <c r="S239" s="758"/>
      <c r="T239" s="271"/>
      <c r="U239" s="8"/>
      <c r="V239" s="8"/>
      <c r="W239" s="8"/>
      <c r="X239" s="8"/>
      <c r="Y239" s="8"/>
      <c r="Z239" s="758"/>
      <c r="AA239" s="271"/>
      <c r="AB239" s="271"/>
      <c r="AC239" s="107"/>
      <c r="AD239" s="1"/>
      <c r="AE239" s="1"/>
      <c r="AF239" s="1"/>
      <c r="AJ239" s="3"/>
    </row>
    <row r="240" spans="1:52" hidden="1" x14ac:dyDescent="0.25">
      <c r="D240" s="19"/>
      <c r="M240" s="121"/>
      <c r="N240" s="820"/>
      <c r="O240" s="820"/>
      <c r="P240" s="820"/>
      <c r="Q240" s="758"/>
      <c r="R240" s="758"/>
      <c r="S240" s="758"/>
      <c r="T240" s="271"/>
      <c r="U240" s="8"/>
      <c r="V240" s="8"/>
      <c r="W240" s="8"/>
      <c r="X240" s="8"/>
      <c r="Y240" s="8"/>
      <c r="Z240" s="758"/>
      <c r="AA240" s="271"/>
      <c r="AB240" s="271"/>
      <c r="AC240" s="107"/>
      <c r="AD240" s="1"/>
      <c r="AE240" s="1"/>
      <c r="AF240" s="1"/>
      <c r="AJ240" s="3"/>
    </row>
    <row r="241" spans="1:58" hidden="1" x14ac:dyDescent="0.25">
      <c r="D241" s="19"/>
      <c r="M241" s="121"/>
      <c r="N241" s="820"/>
      <c r="O241" s="820"/>
      <c r="P241" s="820"/>
      <c r="Q241" s="758"/>
      <c r="R241" s="758"/>
      <c r="S241" s="758"/>
      <c r="T241" s="271"/>
      <c r="U241" s="8"/>
      <c r="V241" s="8"/>
      <c r="W241" s="8"/>
      <c r="X241" s="8"/>
      <c r="Y241" s="8"/>
      <c r="Z241" s="758"/>
      <c r="AA241" s="271"/>
      <c r="AB241" s="271"/>
      <c r="AC241" s="107"/>
      <c r="AD241" s="1"/>
      <c r="AE241" s="1"/>
      <c r="AF241" s="1"/>
      <c r="AJ241" s="3"/>
    </row>
    <row r="242" spans="1:58" hidden="1" x14ac:dyDescent="0.25">
      <c r="D242" s="19"/>
      <c r="M242" s="121"/>
      <c r="N242" s="820"/>
      <c r="O242" s="820"/>
      <c r="P242" s="820"/>
      <c r="Q242" s="758"/>
      <c r="R242" s="758"/>
      <c r="S242" s="758"/>
      <c r="T242" s="271"/>
      <c r="U242" s="8"/>
      <c r="V242" s="8"/>
      <c r="W242" s="8"/>
      <c r="X242" s="8"/>
      <c r="Y242" s="8"/>
      <c r="Z242" s="758"/>
      <c r="AA242" s="271"/>
      <c r="AB242" s="271"/>
      <c r="AC242" s="107"/>
      <c r="AD242" s="1"/>
      <c r="AE242" s="1"/>
      <c r="AF242" s="1"/>
      <c r="AJ242" s="3"/>
    </row>
    <row r="243" spans="1:58" hidden="1" x14ac:dyDescent="0.25">
      <c r="D243" s="19"/>
      <c r="M243" s="121"/>
      <c r="N243" s="820"/>
      <c r="O243" s="820"/>
      <c r="P243" s="820"/>
      <c r="Q243" s="758"/>
      <c r="R243" s="758"/>
      <c r="S243" s="758"/>
      <c r="T243" s="271"/>
      <c r="U243" s="8"/>
      <c r="V243" s="8"/>
      <c r="W243" s="8"/>
      <c r="X243" s="8"/>
      <c r="Y243" s="8"/>
      <c r="Z243" s="758"/>
      <c r="AA243" s="271"/>
      <c r="AB243" s="271"/>
      <c r="AC243" s="107"/>
      <c r="AD243" s="1"/>
      <c r="AE243" s="1"/>
      <c r="AF243" s="1"/>
      <c r="AJ243" s="3"/>
    </row>
    <row r="244" spans="1:58" hidden="1" x14ac:dyDescent="0.25">
      <c r="D244" s="19"/>
      <c r="M244" s="121"/>
      <c r="N244" s="820"/>
      <c r="O244" s="820"/>
      <c r="P244" s="820"/>
      <c r="Q244" s="758"/>
      <c r="R244" s="758"/>
      <c r="S244" s="758"/>
      <c r="T244" s="271"/>
      <c r="U244" s="8"/>
      <c r="V244" s="8"/>
      <c r="W244" s="8"/>
      <c r="X244" s="8"/>
      <c r="Y244" s="8"/>
      <c r="Z244" s="758"/>
      <c r="AA244" s="271"/>
      <c r="AB244" s="271"/>
      <c r="AC244" s="107"/>
      <c r="AD244" s="1"/>
      <c r="AE244" s="1"/>
      <c r="AF244" s="1"/>
      <c r="AJ244" s="3"/>
    </row>
    <row r="245" spans="1:58" hidden="1" x14ac:dyDescent="0.25">
      <c r="A245" s="1069">
        <v>3</v>
      </c>
      <c r="B245" s="824" t="s">
        <v>62</v>
      </c>
      <c r="C245" s="824"/>
      <c r="D245" s="824"/>
      <c r="E245" s="340" t="str">
        <f>Man01_Crit1</f>
        <v>Pre-requisite: early stage greenhouse gas calculation</v>
      </c>
      <c r="F245" s="122" t="str">
        <f>Man01_Crit1_credits</f>
        <v>Yes/No</v>
      </c>
      <c r="G245" s="43"/>
      <c r="H245" s="123"/>
      <c r="I245" s="129" t="str">
        <f>Man01_minstd</f>
        <v>Unclassified</v>
      </c>
      <c r="J245" s="80"/>
      <c r="K245" s="281" t="s">
        <v>296</v>
      </c>
      <c r="L245" s="738"/>
      <c r="M245" s="816"/>
      <c r="N245" s="83"/>
      <c r="O245" s="878"/>
      <c r="P245" s="878"/>
      <c r="Q245" s="744"/>
      <c r="R245" s="745"/>
      <c r="S245" s="738"/>
      <c r="T245" s="319"/>
      <c r="U245" s="83"/>
      <c r="V245" s="878"/>
      <c r="W245" s="878"/>
      <c r="X245" s="81"/>
      <c r="Y245" s="80"/>
      <c r="Z245" s="738"/>
      <c r="AA245" s="133"/>
      <c r="AB245" s="640"/>
      <c r="AC245" s="107">
        <f>AC11</f>
        <v>1</v>
      </c>
      <c r="AD245" s="3">
        <f>VLOOKUP(K245,'Assessment Details'!$O$45:$P$48,2,FALSE)</f>
        <v>3</v>
      </c>
      <c r="AE245" s="3" t="e">
        <f>VLOOKUP(R245,'Assessment Details'!$O$45:$P$48,2,FALSE)</f>
        <v>#N/A</v>
      </c>
      <c r="AF245" s="3" t="e">
        <f>VLOOKUP(Y245,'Assessment Details'!$O$45:$P$48,2,FALSE)</f>
        <v>#N/A</v>
      </c>
      <c r="AI245" s="70"/>
      <c r="AJ245" s="671"/>
      <c r="AK245" s="727"/>
      <c r="AL245" s="727"/>
      <c r="AM245" s="3"/>
      <c r="AN245" s="3"/>
      <c r="AO245" s="3"/>
      <c r="AP245" s="70"/>
      <c r="AS245" s="23"/>
      <c r="AT245" s="23"/>
      <c r="AU245" s="23"/>
      <c r="AV245" s="23"/>
      <c r="AW245" s="23"/>
      <c r="AX245" s="23"/>
      <c r="AZ245" s="640"/>
      <c r="BD245" s="18"/>
      <c r="BE245" s="18"/>
      <c r="BF245" s="18"/>
    </row>
    <row r="246" spans="1:58" hidden="1" x14ac:dyDescent="0.25">
      <c r="A246" s="1069">
        <v>6</v>
      </c>
      <c r="B246" s="824" t="s">
        <v>62</v>
      </c>
      <c r="C246" s="824"/>
      <c r="D246" s="824"/>
      <c r="E246" s="340" t="str">
        <f>Man03_Crit1</f>
        <v>Minimum req: legal and sustainable timber</v>
      </c>
      <c r="F246" s="122" t="str">
        <f>Man03_Crit1_credits</f>
        <v>Yes/No</v>
      </c>
      <c r="G246" s="734"/>
      <c r="H246" s="123"/>
      <c r="I246" s="127" t="str">
        <f>Man03_minstd_cri</f>
        <v>Unclassified</v>
      </c>
      <c r="J246" s="80"/>
      <c r="K246" s="281" t="s">
        <v>296</v>
      </c>
      <c r="L246" s="738"/>
      <c r="M246" s="815"/>
      <c r="N246" s="83"/>
      <c r="O246" s="878"/>
      <c r="P246" s="878"/>
      <c r="Q246" s="744"/>
      <c r="R246" s="745"/>
      <c r="S246" s="738"/>
      <c r="T246" s="319"/>
      <c r="U246" s="83"/>
      <c r="V246" s="878"/>
      <c r="W246" s="878"/>
      <c r="X246" s="81"/>
      <c r="Y246" s="80"/>
      <c r="Z246" s="738"/>
      <c r="AA246" s="133"/>
      <c r="AB246" s="640" t="s">
        <v>14</v>
      </c>
      <c r="AC246" s="107">
        <f>AC20</f>
        <v>1</v>
      </c>
      <c r="AD246" s="3">
        <f>VLOOKUP(K246,'Assessment Details'!$O$45:$P$48,2,FALSE)</f>
        <v>3</v>
      </c>
      <c r="AE246" s="3" t="e">
        <f>VLOOKUP(R246,'Assessment Details'!$O$45:$P$48,2,FALSE)</f>
        <v>#N/A</v>
      </c>
      <c r="AF246" s="3" t="e">
        <f>VLOOKUP(Y246,'Assessment Details'!$O$45:$P$48,2,FALSE)</f>
        <v>#N/A</v>
      </c>
      <c r="AI246" s="70"/>
      <c r="AJ246" s="671" t="s">
        <v>262</v>
      </c>
      <c r="AK246" s="70"/>
      <c r="AL246" s="70"/>
      <c r="AM246" s="70"/>
      <c r="AN246" s="70"/>
      <c r="AO246" s="70"/>
      <c r="AP246" s="70"/>
      <c r="AS246" s="23" t="str">
        <f>IF($AJ$4=ais_nei,AIS_NA,IF(AK246="",AIS_NA,AK246))</f>
        <v>N/A</v>
      </c>
      <c r="AT246" s="23" t="str">
        <f>IF($AJ$4=ais_nei,AIS_NA,IF(AL246="",AIS_NA,AL246))</f>
        <v>N/A</v>
      </c>
      <c r="AU246" s="23" t="str">
        <f>IF($AJ$4=ais_nei,AIS_NA,IF(AM246="",AIS_NA,AM246))</f>
        <v>N/A</v>
      </c>
      <c r="AV246" s="23"/>
      <c r="AW246" s="23"/>
      <c r="AX246" s="23"/>
      <c r="AZ246" s="640"/>
    </row>
    <row r="247" spans="1:58" hidden="1" x14ac:dyDescent="0.25">
      <c r="A247" s="1069"/>
      <c r="B247" s="824"/>
      <c r="C247" s="824"/>
      <c r="D247" s="824"/>
      <c r="E247" s="340" t="str">
        <f>Man04_Crit1</f>
        <v>Pre-requisite: risk analysis</v>
      </c>
      <c r="F247" s="122" t="str">
        <f>Man04_Crit1_credits</f>
        <v>Yes/No</v>
      </c>
      <c r="G247" s="734"/>
      <c r="H247" s="123"/>
      <c r="I247" s="127" t="str">
        <f>Man04_minstd_cri</f>
        <v>N/A</v>
      </c>
      <c r="J247" s="80"/>
      <c r="K247" s="281" t="s">
        <v>296</v>
      </c>
      <c r="L247" s="738"/>
      <c r="M247" s="815"/>
      <c r="N247" s="83"/>
      <c r="O247" s="878"/>
      <c r="P247" s="878"/>
      <c r="Q247" s="744"/>
      <c r="R247" s="745"/>
      <c r="S247" s="738"/>
      <c r="T247" s="319"/>
      <c r="U247" s="83"/>
      <c r="V247" s="878"/>
      <c r="W247" s="878"/>
      <c r="X247" s="81"/>
      <c r="Y247" s="80"/>
      <c r="Z247" s="738"/>
      <c r="AA247" s="133"/>
      <c r="AB247" s="640"/>
      <c r="AC247" s="107">
        <f>IF(F247="",1,IF(F247=0,2,1))</f>
        <v>1</v>
      </c>
      <c r="AD247" s="3">
        <f>VLOOKUP(K247,'Assessment Details'!$O$45:$P$48,2,FALSE)</f>
        <v>3</v>
      </c>
      <c r="AE247" s="3" t="e">
        <f>VLOOKUP(R247,'Assessment Details'!$O$45:$P$48,2,FALSE)</f>
        <v>#N/A</v>
      </c>
      <c r="AF247" s="3" t="e">
        <f>VLOOKUP(Y247,'Assessment Details'!$O$45:$P$48,2,FALSE)</f>
        <v>#N/A</v>
      </c>
      <c r="AI247" s="70"/>
      <c r="AJ247" s="670"/>
      <c r="AK247" s="648"/>
      <c r="AL247" s="648"/>
      <c r="AM247" s="648"/>
      <c r="AN247" s="70"/>
      <c r="AO247" s="70"/>
      <c r="AP247" s="70"/>
      <c r="AS247" s="23"/>
      <c r="AT247" s="23"/>
      <c r="AU247" s="23"/>
      <c r="AV247" s="23"/>
      <c r="AW247" s="23"/>
      <c r="AX247" s="23"/>
      <c r="AY247" s="18"/>
      <c r="AZ247" s="640"/>
      <c r="BA247" s="18"/>
      <c r="BB247" s="18"/>
      <c r="BC247" s="18"/>
      <c r="BD247" s="18"/>
      <c r="BE247" s="18"/>
      <c r="BF247" s="18"/>
    </row>
    <row r="248" spans="1:58" hidden="1" x14ac:dyDescent="0.25">
      <c r="A248" s="1069">
        <v>9</v>
      </c>
      <c r="B248" s="824" t="s">
        <v>62</v>
      </c>
      <c r="C248" s="824"/>
      <c r="D248" s="824"/>
      <c r="E248" s="712" t="str">
        <f>Man05_Crit1</f>
        <v>Pre-requisite: statutory obligations fulfilled</v>
      </c>
      <c r="F248" s="122" t="str">
        <f>IF(ADBT0=ADBT12,'Assessment Details'!O61,Man05_Crit1_credits)</f>
        <v>Yes/No</v>
      </c>
      <c r="G248" s="43"/>
      <c r="H248" s="123"/>
      <c r="I248" s="129" t="str">
        <f>Man05_minstd_cri</f>
        <v>N/A</v>
      </c>
      <c r="J248" s="80"/>
      <c r="K248" s="281" t="s">
        <v>296</v>
      </c>
      <c r="L248" s="738"/>
      <c r="M248" s="816"/>
      <c r="N248" s="83"/>
      <c r="O248" s="878"/>
      <c r="P248" s="878"/>
      <c r="Q248" s="744"/>
      <c r="R248" s="745"/>
      <c r="S248" s="738"/>
      <c r="T248" s="319"/>
      <c r="U248" s="83"/>
      <c r="V248" s="878"/>
      <c r="W248" s="878"/>
      <c r="X248" s="81"/>
      <c r="Y248" s="80"/>
      <c r="Z248" s="738"/>
      <c r="AA248" s="133"/>
      <c r="AB248" s="640"/>
      <c r="AC248" s="107">
        <f>AC31</f>
        <v>1</v>
      </c>
      <c r="AD248" s="3">
        <f>VLOOKUP(K248,'Assessment Details'!$O$45:$P$48,2,FALSE)</f>
        <v>3</v>
      </c>
      <c r="AE248" s="3" t="e">
        <f>VLOOKUP(R248,'Assessment Details'!$O$45:$P$48,2,FALSE)</f>
        <v>#N/A</v>
      </c>
      <c r="AF248" s="3" t="e">
        <f>VLOOKUP(Y248,'Assessment Details'!$O$45:$P$48,2,FALSE)</f>
        <v>#N/A</v>
      </c>
      <c r="AI248" s="70"/>
      <c r="AJ248" s="671"/>
      <c r="AK248" s="727"/>
      <c r="AL248" s="727"/>
      <c r="AM248" s="3"/>
      <c r="AN248" s="3"/>
      <c r="AO248" s="3"/>
      <c r="AP248" s="70"/>
      <c r="AS248" s="23"/>
      <c r="AT248" s="23"/>
      <c r="AU248" s="23"/>
      <c r="AV248" s="23"/>
      <c r="AW248" s="23"/>
      <c r="AX248" s="23"/>
      <c r="AZ248" s="640"/>
      <c r="BD248" s="18"/>
      <c r="BE248" s="18"/>
      <c r="BF248" s="18"/>
    </row>
    <row r="249" spans="1:58" hidden="1" x14ac:dyDescent="0.25">
      <c r="D249" s="19"/>
      <c r="N249" s="821"/>
      <c r="O249" s="821"/>
      <c r="P249" s="821"/>
      <c r="AA249" s="82"/>
      <c r="AB249" s="82"/>
      <c r="AJ249" s="3"/>
    </row>
    <row r="250" spans="1:58" hidden="1" x14ac:dyDescent="0.25">
      <c r="A250" s="1069">
        <v>29</v>
      </c>
    </row>
    <row r="251" spans="1:58" hidden="1" x14ac:dyDescent="0.25">
      <c r="A251" s="1069">
        <v>24</v>
      </c>
      <c r="B251" s="824" t="s">
        <v>66</v>
      </c>
      <c r="C251" s="824"/>
      <c r="D251" s="824"/>
      <c r="E251" s="318" t="str">
        <f>Ene01_Crit1</f>
        <v>Minimum req: absence of environmental toxins (EU taxonomy requirement: criterion 1)</v>
      </c>
      <c r="F251" s="122" t="str">
        <f>Ene01_Crit1_credits</f>
        <v>Yes/No</v>
      </c>
      <c r="G251" s="43"/>
      <c r="H251" s="123"/>
      <c r="I251" s="129" t="str">
        <f>Ene01_minstd</f>
        <v>Unclassified</v>
      </c>
      <c r="J251" s="80"/>
      <c r="K251" s="281" t="s">
        <v>296</v>
      </c>
      <c r="L251" s="738"/>
      <c r="M251" s="816"/>
      <c r="N251" s="83"/>
      <c r="O251" s="878"/>
      <c r="P251" s="878"/>
      <c r="Q251" s="744"/>
      <c r="R251" s="745"/>
      <c r="S251" s="738"/>
      <c r="T251" s="319"/>
      <c r="U251" s="83"/>
      <c r="V251" s="878"/>
      <c r="W251" s="878"/>
      <c r="X251" s="81"/>
      <c r="Y251" s="80"/>
      <c r="Z251" s="738"/>
      <c r="AA251" s="133"/>
      <c r="AB251" s="640"/>
      <c r="AC251" s="107">
        <f>AC66</f>
        <v>1</v>
      </c>
      <c r="AD251" s="1">
        <f>VLOOKUP(K251,'Assessment Details'!$O$45:$P$48,2,FALSE)</f>
        <v>3</v>
      </c>
      <c r="AE251" s="1" t="e">
        <f>VLOOKUP(R251,'Assessment Details'!$O$45:$P$48,2,FALSE)</f>
        <v>#N/A</v>
      </c>
      <c r="AF251" s="1" t="e">
        <f>VLOOKUP(Y251,'Assessment Details'!$O$45:$P$48,2,FALSE)</f>
        <v>#N/A</v>
      </c>
      <c r="AI251" s="70"/>
      <c r="AJ251" s="671"/>
      <c r="AK251" s="727"/>
      <c r="AL251" s="727"/>
      <c r="AM251" s="3"/>
      <c r="AN251" s="3"/>
      <c r="AO251" s="3"/>
      <c r="AP251" s="70"/>
      <c r="AS251" s="23"/>
      <c r="AT251" s="23"/>
      <c r="AU251" s="23"/>
      <c r="AV251" s="23"/>
      <c r="AW251" s="23"/>
      <c r="AX251" s="23"/>
      <c r="AZ251" s="640"/>
    </row>
    <row r="252" spans="1:58" hidden="1" x14ac:dyDescent="0.25">
      <c r="A252" s="1069">
        <v>81</v>
      </c>
      <c r="B252" s="824" t="s">
        <v>67</v>
      </c>
      <c r="C252" s="824"/>
      <c r="D252" s="824"/>
      <c r="E252" s="318" t="str">
        <f>Tra01_Crit1</f>
        <v>Pre-requisite: ecological risks and opportunities</v>
      </c>
      <c r="F252" s="122" t="str">
        <f>Tra01_Crit1_credits</f>
        <v>Yes/No</v>
      </c>
      <c r="G252" s="43"/>
      <c r="H252" s="123"/>
      <c r="I252" s="129" t="str">
        <f>Tra01_minstd</f>
        <v>N/A</v>
      </c>
      <c r="J252" s="80"/>
      <c r="K252" s="281" t="s">
        <v>296</v>
      </c>
      <c r="L252" s="738"/>
      <c r="M252" s="816"/>
      <c r="N252" s="83"/>
      <c r="O252" s="878"/>
      <c r="P252" s="878"/>
      <c r="Q252" s="744"/>
      <c r="R252" s="745"/>
      <c r="S252" s="738"/>
      <c r="T252" s="319"/>
      <c r="U252" s="83"/>
      <c r="V252" s="878"/>
      <c r="W252" s="878"/>
      <c r="X252" s="81"/>
      <c r="Y252" s="80"/>
      <c r="Z252" s="738"/>
      <c r="AA252" s="133"/>
      <c r="AB252" s="640"/>
      <c r="AC252" s="107">
        <f>AC95</f>
        <v>1</v>
      </c>
      <c r="AD252" s="1">
        <f>VLOOKUP(K252,'Assessment Details'!$O$45:$P$48,2,FALSE)</f>
        <v>3</v>
      </c>
      <c r="AE252" s="1" t="e">
        <f>VLOOKUP(R252,'Assessment Details'!$O$45:$P$48,2,FALSE)</f>
        <v>#N/A</v>
      </c>
      <c r="AF252" s="1" t="e">
        <f>VLOOKUP(Y252,'Assessment Details'!$O$45:$P$48,2,FALSE)</f>
        <v>#N/A</v>
      </c>
      <c r="AI252" s="70"/>
      <c r="AJ252" s="671"/>
      <c r="AK252" s="727"/>
      <c r="AL252" s="727"/>
      <c r="AM252" s="3"/>
      <c r="AN252" s="3"/>
      <c r="AO252" s="3"/>
      <c r="AP252" s="70"/>
      <c r="AS252" s="23"/>
      <c r="AT252" s="23"/>
      <c r="AU252" s="23"/>
      <c r="AV252" s="23"/>
      <c r="AW252" s="23"/>
      <c r="AX252" s="23"/>
      <c r="AZ252" s="640"/>
    </row>
    <row r="253" spans="1:58" hidden="1" x14ac:dyDescent="0.25">
      <c r="D253" s="19"/>
      <c r="N253" s="821"/>
      <c r="O253" s="821"/>
      <c r="P253" s="821"/>
      <c r="AJ253" s="3"/>
    </row>
    <row r="254" spans="1:58" hidden="1" x14ac:dyDescent="0.25">
      <c r="A254" s="1069">
        <v>48</v>
      </c>
      <c r="B254" s="824" t="s">
        <v>68</v>
      </c>
      <c r="C254" s="824"/>
      <c r="D254" s="824"/>
      <c r="E254" s="340" t="str">
        <f>Mat01_Crit1</f>
        <v>Pre-requisite: managing negative impacts on ecology</v>
      </c>
      <c r="F254" s="122" t="str">
        <f>Mat01_Crit1_credits</f>
        <v>Yes/No</v>
      </c>
      <c r="G254" s="734"/>
      <c r="H254" s="123"/>
      <c r="I254" s="127" t="str">
        <f>Mat01_minstd</f>
        <v>N/A</v>
      </c>
      <c r="J254" s="80"/>
      <c r="K254" s="281" t="s">
        <v>296</v>
      </c>
      <c r="L254" s="738"/>
      <c r="M254" s="815"/>
      <c r="N254" s="83"/>
      <c r="O254" s="878"/>
      <c r="P254" s="878"/>
      <c r="Q254" s="744"/>
      <c r="R254" s="745"/>
      <c r="S254" s="738"/>
      <c r="T254" s="319"/>
      <c r="U254" s="83"/>
      <c r="V254" s="878"/>
      <c r="W254" s="878"/>
      <c r="X254" s="81"/>
      <c r="Y254" s="80"/>
      <c r="Z254" s="738"/>
      <c r="AA254" s="133"/>
      <c r="AB254" s="640" t="s">
        <v>14</v>
      </c>
      <c r="AC254" s="107">
        <f>AC118</f>
        <v>1</v>
      </c>
      <c r="AD254" s="3">
        <f>VLOOKUP(K254,'Assessment Details'!$O$45:$P$48,2,FALSE)</f>
        <v>3</v>
      </c>
      <c r="AE254" s="3" t="e">
        <f>VLOOKUP(R254,'Assessment Details'!$O$45:$P$48,2,FALSE)</f>
        <v>#N/A</v>
      </c>
      <c r="AF254" s="3" t="e">
        <f>VLOOKUP(Y254,'Assessment Details'!$O$45:$P$48,2,FALSE)</f>
        <v>#N/A</v>
      </c>
      <c r="AI254" s="70"/>
      <c r="AJ254" s="671" t="s">
        <v>262</v>
      </c>
      <c r="AK254" s="70"/>
      <c r="AL254" s="70"/>
      <c r="AM254" s="70"/>
      <c r="AN254" s="70"/>
      <c r="AO254" s="70"/>
      <c r="AP254" s="70"/>
      <c r="AS254" s="23" t="str">
        <f t="shared" ref="AS254" si="31">IF($AJ$4=ais_nei,AIS_NA,IF(AK254="",AIS_NA,AK254))</f>
        <v>N/A</v>
      </c>
      <c r="AT254" s="23" t="str">
        <f t="shared" ref="AT254" si="32">IF($AJ$4=ais_nei,AIS_NA,IF(AL254="",AIS_NA,AL254))</f>
        <v>N/A</v>
      </c>
      <c r="AU254" s="23" t="str">
        <f t="shared" ref="AU254" si="33">IF($AJ$4=ais_nei,AIS_NA,IF(AM254="",AIS_NA,AM254))</f>
        <v>N/A</v>
      </c>
      <c r="AV254" s="23"/>
      <c r="AW254" s="23"/>
      <c r="AX254" s="23"/>
      <c r="AZ254" s="640"/>
    </row>
    <row r="255" spans="1:58" hidden="1" x14ac:dyDescent="0.25">
      <c r="A255" s="1069">
        <v>50</v>
      </c>
      <c r="B255" s="824" t="s">
        <v>68</v>
      </c>
      <c r="C255" s="824"/>
      <c r="D255" s="824"/>
      <c r="E255" s="340" t="str">
        <f>Mat02_Crit1</f>
        <v xml:space="preserve">Pre-requisite: suitably qualified acoustician </v>
      </c>
      <c r="F255" s="122" t="str">
        <f>Mat02_Crit1_credits</f>
        <v>Yes/No</v>
      </c>
      <c r="G255" s="43"/>
      <c r="H255" s="123"/>
      <c r="I255" s="127" t="str">
        <f>Mat02_minstd</f>
        <v>N/A</v>
      </c>
      <c r="J255" s="80"/>
      <c r="K255" s="281" t="s">
        <v>296</v>
      </c>
      <c r="L255" s="738"/>
      <c r="M255" s="816"/>
      <c r="N255" s="83"/>
      <c r="O255" s="878"/>
      <c r="P255" s="878"/>
      <c r="Q255" s="744"/>
      <c r="R255" s="745"/>
      <c r="S255" s="738"/>
      <c r="T255" s="319"/>
      <c r="U255" s="83"/>
      <c r="V255" s="878"/>
      <c r="W255" s="878"/>
      <c r="X255" s="81"/>
      <c r="Y255" s="80"/>
      <c r="Z255" s="738"/>
      <c r="AA255" s="133"/>
      <c r="AB255" s="640" t="s">
        <v>14</v>
      </c>
      <c r="AC255" s="107">
        <f>IF(F255="",1,IF(F255=0,2,1))</f>
        <v>1</v>
      </c>
      <c r="AD255" s="3">
        <f>VLOOKUP(K255,'Assessment Details'!$O$45:$P$48,2,FALSE)</f>
        <v>3</v>
      </c>
      <c r="AE255" s="3" t="e">
        <f>VLOOKUP(R255,'Assessment Details'!$O$45:$P$48,2,FALSE)</f>
        <v>#N/A</v>
      </c>
      <c r="AF255" s="3" t="e">
        <f>VLOOKUP(Y255,'Assessment Details'!$O$45:$P$48,2,FALSE)</f>
        <v>#N/A</v>
      </c>
      <c r="AI255" s="70"/>
      <c r="AJ255" s="671" t="s">
        <v>263</v>
      </c>
      <c r="AK255" s="70"/>
      <c r="AL255" s="70"/>
      <c r="AM255" s="70"/>
      <c r="AN255" s="70"/>
      <c r="AO255" s="70"/>
      <c r="AP255" s="70"/>
      <c r="AS255" s="23" t="str">
        <f t="shared" ref="AS255" si="34">IF($AJ$4=ais_nei,AIS_NA,IF(AK255="",AIS_NA,AK255))</f>
        <v>N/A</v>
      </c>
      <c r="AT255" s="23" t="str">
        <f t="shared" ref="AT255" si="35">IF($AJ$4=ais_nei,AIS_NA,IF(AL255="",AIS_NA,AL255))</f>
        <v>N/A</v>
      </c>
      <c r="AU255" s="23" t="str">
        <f t="shared" ref="AU255" si="36">IF($AJ$4=ais_nei,AIS_NA,IF(AM255="",AIS_NA,AM255))</f>
        <v>N/A</v>
      </c>
      <c r="AV255" s="23"/>
      <c r="AW255" s="23"/>
      <c r="AX255" s="23"/>
      <c r="AZ255" s="640"/>
    </row>
    <row r="256" spans="1:58" hidden="1" x14ac:dyDescent="0.25">
      <c r="A256" s="1069">
        <v>52</v>
      </c>
      <c r="B256" s="824" t="s">
        <v>68</v>
      </c>
      <c r="C256" s="824"/>
      <c r="D256" s="824"/>
      <c r="E256" s="340" t="str">
        <f>Mat03_Crit1</f>
        <v>Minimum req: agricultural area / forest (EU taxonomy requirement: criterion 2)</v>
      </c>
      <c r="F256" s="122" t="str">
        <f>Mat03_Crit1_credits</f>
        <v>Yes/No</v>
      </c>
      <c r="G256" s="43"/>
      <c r="H256" s="123"/>
      <c r="I256" s="128" t="str">
        <f>Mat03_minstd</f>
        <v>Very Good</v>
      </c>
      <c r="J256" s="80"/>
      <c r="K256" s="281" t="s">
        <v>296</v>
      </c>
      <c r="L256" s="738"/>
      <c r="M256" s="816"/>
      <c r="N256" s="83"/>
      <c r="O256" s="878"/>
      <c r="P256" s="878"/>
      <c r="Q256" s="744"/>
      <c r="R256" s="745"/>
      <c r="S256" s="738"/>
      <c r="T256" s="319"/>
      <c r="U256" s="83"/>
      <c r="V256" s="878"/>
      <c r="W256" s="878"/>
      <c r="X256" s="81"/>
      <c r="Y256" s="80"/>
      <c r="Z256" s="738"/>
      <c r="AA256" s="133"/>
      <c r="AB256" s="640" t="s">
        <v>14</v>
      </c>
      <c r="AC256" s="107">
        <f>IF(F256="",1,IF(F256=0,2,1))</f>
        <v>1</v>
      </c>
      <c r="AD256" s="3">
        <f>VLOOKUP(K256,'Assessment Details'!$O$45:$P$48,2,FALSE)</f>
        <v>3</v>
      </c>
      <c r="AE256" s="3" t="e">
        <f>VLOOKUP(R256,'Assessment Details'!$O$45:$P$48,2,FALSE)</f>
        <v>#N/A</v>
      </c>
      <c r="AF256" s="3" t="e">
        <f>VLOOKUP(Y256,'Assessment Details'!$O$45:$P$48,2,FALSE)</f>
        <v>#N/A</v>
      </c>
      <c r="AI256" s="70"/>
      <c r="AJ256" s="671" t="s">
        <v>310</v>
      </c>
      <c r="AK256" s="70"/>
      <c r="AL256" s="70"/>
      <c r="AM256" s="70"/>
      <c r="AN256" s="70"/>
      <c r="AO256" s="70"/>
      <c r="AP256" s="70"/>
      <c r="AS256" s="23" t="str">
        <f>IF($AJ$4=ais_nei,AIS_NA,IF(AK256="",AIS_NA,AK256))</f>
        <v>N/A</v>
      </c>
      <c r="AT256" s="23" t="str">
        <f>IF($AJ$4=ais_nei,AIS_NA,IF(AL256="",AIS_NA,AL256))</f>
        <v>N/A</v>
      </c>
      <c r="AU256" s="23" t="str">
        <f>IF($AJ$4=ais_nei,AIS_NA,IF(AM256="",AIS_NA,AM256))</f>
        <v>N/A</v>
      </c>
      <c r="AV256" s="23"/>
      <c r="AW256" s="23"/>
      <c r="AX256" s="23"/>
      <c r="AZ256" s="640"/>
    </row>
    <row r="257" spans="1:52" ht="15" hidden="1" customHeight="1" x14ac:dyDescent="0.25">
      <c r="A257" s="1069">
        <v>55</v>
      </c>
      <c r="B257" s="824" t="s">
        <v>68</v>
      </c>
      <c r="C257" s="824"/>
      <c r="D257" s="824"/>
      <c r="E257" s="822" t="str">
        <f>Mat06_Crit1</f>
        <v>Pre-requisite: statutory obligations, planning and site implementation</v>
      </c>
      <c r="F257" s="122" t="str">
        <f>Mat06_Crit1_credits</f>
        <v>Yes/No</v>
      </c>
      <c r="G257" s="43"/>
      <c r="H257" s="123"/>
      <c r="I257" s="127" t="str">
        <f>Mat06_minstd_cred</f>
        <v>N/A</v>
      </c>
      <c r="J257" s="80"/>
      <c r="K257" s="281" t="s">
        <v>296</v>
      </c>
      <c r="L257" s="738"/>
      <c r="M257" s="816"/>
      <c r="N257" s="83"/>
      <c r="O257" s="878"/>
      <c r="P257" s="878"/>
      <c r="Q257" s="744"/>
      <c r="R257" s="745"/>
      <c r="S257" s="738"/>
      <c r="T257" s="319"/>
      <c r="U257" s="83"/>
      <c r="V257" s="878"/>
      <c r="W257" s="878"/>
      <c r="X257" s="81"/>
      <c r="Y257" s="80"/>
      <c r="Z257" s="738"/>
      <c r="AA257" s="133"/>
      <c r="AB257" s="640" t="s">
        <v>14</v>
      </c>
      <c r="AC257" s="107">
        <f>IF(F257="",1,IF(F257=0,2,1))</f>
        <v>1</v>
      </c>
      <c r="AD257" s="3">
        <f>VLOOKUP(K257,'Assessment Details'!$O$45:$P$48,2,FALSE)</f>
        <v>3</v>
      </c>
      <c r="AE257" s="3" t="e">
        <f>VLOOKUP(R257,'Assessment Details'!$O$45:$P$48,2,FALSE)</f>
        <v>#N/A</v>
      </c>
      <c r="AF257" s="3" t="e">
        <f>VLOOKUP(Y257,'Assessment Details'!$O$45:$P$48,2,FALSE)</f>
        <v>#N/A</v>
      </c>
      <c r="AI257" s="70"/>
      <c r="AJ257" s="671" t="s">
        <v>263</v>
      </c>
      <c r="AK257" s="70"/>
      <c r="AL257" s="70"/>
      <c r="AM257" s="70"/>
      <c r="AN257" s="70"/>
      <c r="AO257" s="70"/>
      <c r="AP257" s="70"/>
      <c r="AS257" s="23" t="str">
        <f t="shared" ref="AS257" si="37">IF($AJ$4=ais_nei,AIS_NA,IF(AK257="",AIS_NA,AK257))</f>
        <v>N/A</v>
      </c>
      <c r="AT257" s="23" t="str">
        <f t="shared" ref="AT257" si="38">IF($AJ$4=ais_nei,AIS_NA,IF(AL257="",AIS_NA,AL257))</f>
        <v>N/A</v>
      </c>
      <c r="AU257" s="23" t="str">
        <f t="shared" ref="AU257" si="39">IF($AJ$4=ais_nei,AIS_NA,IF(AM257="",AIS_NA,AM257))</f>
        <v>N/A</v>
      </c>
      <c r="AV257" s="23"/>
      <c r="AW257" s="23"/>
      <c r="AX257" s="23"/>
      <c r="AZ257" s="640"/>
    </row>
    <row r="258" spans="1:52" hidden="1" x14ac:dyDescent="0.25">
      <c r="A258" s="1069">
        <v>57</v>
      </c>
      <c r="B258" s="824" t="s">
        <v>68</v>
      </c>
      <c r="C258" s="824"/>
      <c r="D258" s="824"/>
      <c r="E258" s="822" t="str">
        <f>Mat07_Crit1</f>
        <v>Pre-requisite: flood risk assessment</v>
      </c>
      <c r="F258" s="122" t="str">
        <f>Mat07_Crit1_credits</f>
        <v>Yes/No</v>
      </c>
      <c r="G258" s="43"/>
      <c r="H258" s="123"/>
      <c r="I258" s="127" t="str" cm="1">
        <f t="array" ref="I258">Mat07_minstd_cred</f>
        <v>N/A</v>
      </c>
      <c r="J258" s="80"/>
      <c r="K258" s="281" t="s">
        <v>296</v>
      </c>
      <c r="L258" s="796"/>
      <c r="M258" s="816"/>
      <c r="N258" s="83"/>
      <c r="O258" s="878"/>
      <c r="P258" s="878"/>
      <c r="Q258" s="744"/>
      <c r="R258" s="745"/>
      <c r="S258" s="738"/>
      <c r="T258" s="319"/>
      <c r="U258" s="83"/>
      <c r="V258" s="878"/>
      <c r="W258" s="878"/>
      <c r="X258" s="81"/>
      <c r="Y258" s="80"/>
      <c r="Z258" s="738"/>
      <c r="AA258" s="133"/>
      <c r="AB258" s="640" t="s">
        <v>14</v>
      </c>
      <c r="AC258" s="107">
        <f>IF(F258="",1,IF(F258=0,2,1))</f>
        <v>1</v>
      </c>
      <c r="AD258" s="3">
        <f>VLOOKUP(K258,'Assessment Details'!$O$45:$P$48,2,FALSE)</f>
        <v>3</v>
      </c>
      <c r="AE258" s="3" t="e">
        <f>VLOOKUP(R258,'Assessment Details'!$O$45:$P$48,2,FALSE)</f>
        <v>#N/A</v>
      </c>
      <c r="AF258" s="3" t="e">
        <f>VLOOKUP(Y258,'Assessment Details'!$O$45:$P$48,2,FALSE)</f>
        <v>#N/A</v>
      </c>
      <c r="AI258" s="70"/>
      <c r="AJ258" s="671" t="s">
        <v>263</v>
      </c>
      <c r="AK258" s="70"/>
      <c r="AL258" s="70"/>
      <c r="AM258" s="70"/>
      <c r="AN258" s="70"/>
      <c r="AO258" s="70"/>
      <c r="AP258" s="70"/>
      <c r="AS258" s="23" t="str">
        <f t="shared" ref="AS258" si="40">IF($AJ$4=ais_nei,AIS_NA,IF(AK258="",AIS_NA,AK258))</f>
        <v>N/A</v>
      </c>
      <c r="AT258" s="23" t="str">
        <f t="shared" ref="AT258" si="41">IF($AJ$4=ais_nei,AIS_NA,IF(AL258="",AIS_NA,AL258))</f>
        <v>N/A</v>
      </c>
      <c r="AU258" s="23" t="str">
        <f t="shared" ref="AU258" si="42">IF($AJ$4=ais_nei,AIS_NA,IF(AM258="",AIS_NA,AM258))</f>
        <v>N/A</v>
      </c>
      <c r="AV258" s="23"/>
      <c r="AW258" s="23"/>
      <c r="AX258" s="23"/>
      <c r="AZ258" s="640"/>
    </row>
    <row r="259" spans="1:52" hidden="1" x14ac:dyDescent="0.25">
      <c r="A259" s="1069">
        <v>62</v>
      </c>
      <c r="B259" s="824" t="s">
        <v>69</v>
      </c>
      <c r="C259" s="824"/>
      <c r="D259" s="824"/>
      <c r="E259" s="340" t="str">
        <f>Wst01_Crit1</f>
        <v>Pre-requisite: risk assessment and the "three- step strategy"</v>
      </c>
      <c r="F259" s="122" t="str">
        <f>Wst01_Crit1_credits</f>
        <v>Yes/No</v>
      </c>
      <c r="G259" s="43"/>
      <c r="H259" s="123"/>
      <c r="I259" s="127" t="str">
        <f>Wst01_minstd</f>
        <v>N/A</v>
      </c>
      <c r="J259" s="80"/>
      <c r="K259" s="281" t="s">
        <v>296</v>
      </c>
      <c r="L259" s="738"/>
      <c r="M259" s="815"/>
      <c r="N259" s="83"/>
      <c r="O259" s="878"/>
      <c r="P259" s="878"/>
      <c r="Q259" s="744"/>
      <c r="R259" s="745"/>
      <c r="S259" s="738"/>
      <c r="T259" s="319"/>
      <c r="U259" s="83"/>
      <c r="V259" s="878"/>
      <c r="W259" s="878"/>
      <c r="X259" s="81"/>
      <c r="Y259" s="80"/>
      <c r="Z259" s="738"/>
      <c r="AA259" s="133"/>
      <c r="AB259" s="640" t="s">
        <v>14</v>
      </c>
      <c r="AC259" s="107">
        <f>AC148</f>
        <v>1</v>
      </c>
      <c r="AD259" s="3">
        <f>VLOOKUP(K259,'Assessment Details'!$O$45:$P$48,2,FALSE)</f>
        <v>3</v>
      </c>
      <c r="AE259" s="3" t="e">
        <f>VLOOKUP(R259,'Assessment Details'!$O$45:$P$48,2,FALSE)</f>
        <v>#N/A</v>
      </c>
      <c r="AF259" s="3" t="e">
        <f>VLOOKUP(Y259,'Assessment Details'!$O$45:$P$48,2,FALSE)</f>
        <v>#N/A</v>
      </c>
      <c r="AI259" s="70"/>
      <c r="AJ259" s="671" t="s">
        <v>262</v>
      </c>
      <c r="AK259" s="70"/>
      <c r="AL259" s="70"/>
      <c r="AM259" s="70"/>
      <c r="AN259" s="70"/>
      <c r="AO259" s="70"/>
      <c r="AP259" s="70"/>
      <c r="AS259" s="23" t="str">
        <f>IF($AJ$4=ais_nei,AIS_NA,IF(AK259="",AIS_NA,AK259))</f>
        <v>N/A</v>
      </c>
      <c r="AT259" s="23" t="str">
        <f>IF($AJ$4=ais_nei,AIS_NA,IF(AL259="",AIS_NA,AL259))</f>
        <v>N/A</v>
      </c>
      <c r="AU259" s="23" t="str">
        <f>IF($AJ$4=ais_nei,AIS_NA,IF(AM259="",AIS_NA,AM259))</f>
        <v>N/A</v>
      </c>
      <c r="AV259" s="23"/>
      <c r="AW259" s="23"/>
      <c r="AX259" s="23"/>
      <c r="AZ259" s="640"/>
    </row>
    <row r="260" spans="1:52" hidden="1" x14ac:dyDescent="0.25">
      <c r="D260" s="19"/>
      <c r="N260" s="821"/>
      <c r="O260" s="821"/>
      <c r="P260" s="821"/>
      <c r="AJ260" s="3"/>
    </row>
    <row r="261" spans="1:52" hidden="1" x14ac:dyDescent="0.25">
      <c r="D261" s="19"/>
      <c r="N261" s="821"/>
      <c r="O261" s="821"/>
      <c r="P261" s="821"/>
      <c r="AJ261" s="3"/>
    </row>
    <row r="262" spans="1:52" hidden="1" x14ac:dyDescent="0.25">
      <c r="D262" s="19"/>
      <c r="N262" s="821"/>
      <c r="O262" s="821"/>
      <c r="P262" s="821"/>
      <c r="AJ262" s="3"/>
    </row>
    <row r="263" spans="1:52" hidden="1" x14ac:dyDescent="0.25">
      <c r="N263" s="821"/>
      <c r="O263" s="821"/>
      <c r="P263" s="821"/>
      <c r="AJ263" s="3"/>
    </row>
    <row r="264" spans="1:52" hidden="1" x14ac:dyDescent="0.25">
      <c r="N264" s="821"/>
      <c r="O264" s="821"/>
      <c r="P264" s="821"/>
      <c r="AJ264" s="3"/>
    </row>
    <row r="265" spans="1:52" hidden="1" x14ac:dyDescent="0.25">
      <c r="N265" s="821"/>
      <c r="O265" s="821"/>
      <c r="P265" s="821"/>
      <c r="AJ265" s="3"/>
    </row>
    <row r="266" spans="1:52" hidden="1" x14ac:dyDescent="0.25">
      <c r="N266" s="821"/>
      <c r="O266" s="821"/>
      <c r="P266" s="821"/>
      <c r="AJ266" s="3"/>
    </row>
    <row r="267" spans="1:52" hidden="1" x14ac:dyDescent="0.25">
      <c r="N267" s="821"/>
      <c r="O267" s="821"/>
      <c r="P267" s="821"/>
      <c r="AJ267" s="3"/>
    </row>
    <row r="268" spans="1:52" hidden="1" x14ac:dyDescent="0.25">
      <c r="N268" s="821"/>
      <c r="O268" s="821"/>
      <c r="P268" s="821"/>
      <c r="AJ268" s="3"/>
    </row>
    <row r="269" spans="1:52" hidden="1" x14ac:dyDescent="0.25">
      <c r="N269" s="821"/>
      <c r="O269" s="821"/>
      <c r="P269" s="821"/>
      <c r="AJ269" s="3"/>
    </row>
    <row r="270" spans="1:52" hidden="1" x14ac:dyDescent="0.25">
      <c r="N270" s="821"/>
      <c r="O270" s="821"/>
      <c r="P270" s="821"/>
      <c r="AJ270" s="3"/>
    </row>
    <row r="271" spans="1:52" hidden="1" x14ac:dyDescent="0.25">
      <c r="N271" s="821"/>
      <c r="O271" s="821"/>
      <c r="P271" s="821"/>
      <c r="AJ271" s="3"/>
    </row>
    <row r="272" spans="1:52" hidden="1" x14ac:dyDescent="0.25">
      <c r="N272" s="821"/>
      <c r="O272" s="821"/>
      <c r="P272" s="821"/>
      <c r="AJ272" s="3"/>
    </row>
    <row r="273" spans="14:36" hidden="1" x14ac:dyDescent="0.25">
      <c r="N273" s="821"/>
      <c r="O273" s="821"/>
      <c r="P273" s="821"/>
      <c r="AJ273" s="3"/>
    </row>
    <row r="274" spans="14:36" hidden="1" x14ac:dyDescent="0.25">
      <c r="N274" s="821"/>
      <c r="O274" s="821"/>
      <c r="P274" s="821"/>
      <c r="AJ274" s="3"/>
    </row>
    <row r="275" spans="14:36" hidden="1" x14ac:dyDescent="0.25">
      <c r="N275" s="821"/>
      <c r="O275" s="821"/>
      <c r="P275" s="821"/>
      <c r="AJ275" s="3"/>
    </row>
    <row r="276" spans="14:36" hidden="1" x14ac:dyDescent="0.25">
      <c r="N276" s="821"/>
      <c r="O276" s="821"/>
      <c r="P276" s="821"/>
      <c r="AJ276" s="3"/>
    </row>
    <row r="277" spans="14:36" hidden="1" x14ac:dyDescent="0.25">
      <c r="N277" s="821"/>
      <c r="O277" s="821"/>
      <c r="P277" s="821"/>
      <c r="AJ277" s="3"/>
    </row>
    <row r="278" spans="14:36" hidden="1" x14ac:dyDescent="0.25">
      <c r="N278" s="821"/>
      <c r="O278" s="821"/>
      <c r="P278" s="821"/>
      <c r="AJ278" s="3"/>
    </row>
    <row r="279" spans="14:36" hidden="1" x14ac:dyDescent="0.25">
      <c r="N279" s="821"/>
      <c r="O279" s="821"/>
      <c r="P279" s="821"/>
      <c r="AJ279" s="3"/>
    </row>
    <row r="280" spans="14:36" hidden="1" x14ac:dyDescent="0.25">
      <c r="N280" s="821"/>
      <c r="O280" s="821"/>
      <c r="P280" s="821"/>
      <c r="AJ280" s="3"/>
    </row>
    <row r="281" spans="14:36" hidden="1" x14ac:dyDescent="0.25">
      <c r="N281" s="821"/>
      <c r="O281" s="821"/>
      <c r="P281" s="821"/>
      <c r="AJ281" s="3"/>
    </row>
    <row r="282" spans="14:36" hidden="1" x14ac:dyDescent="0.25">
      <c r="N282" s="821"/>
      <c r="O282" s="821"/>
      <c r="P282" s="821"/>
      <c r="AJ282" s="3"/>
    </row>
    <row r="283" spans="14:36" hidden="1" x14ac:dyDescent="0.25">
      <c r="N283" s="821"/>
      <c r="O283" s="821"/>
      <c r="P283" s="821"/>
      <c r="AJ283" s="3"/>
    </row>
    <row r="284" spans="14:36" hidden="1" x14ac:dyDescent="0.25">
      <c r="N284" s="821"/>
      <c r="O284" s="821"/>
      <c r="P284" s="821"/>
      <c r="AJ284" s="3"/>
    </row>
    <row r="285" spans="14:36" hidden="1" x14ac:dyDescent="0.25">
      <c r="N285" s="821"/>
      <c r="O285" s="821"/>
      <c r="P285" s="821"/>
      <c r="AJ285" s="3"/>
    </row>
    <row r="286" spans="14:36" hidden="1" x14ac:dyDescent="0.25">
      <c r="N286" s="821"/>
      <c r="O286" s="821"/>
      <c r="P286" s="821"/>
      <c r="AJ286" s="3"/>
    </row>
    <row r="287" spans="14:36" hidden="1" x14ac:dyDescent="0.25">
      <c r="N287" s="821"/>
      <c r="O287" s="821"/>
      <c r="P287" s="821"/>
      <c r="AJ287" s="3"/>
    </row>
    <row r="288" spans="14:36" hidden="1" x14ac:dyDescent="0.25">
      <c r="N288" s="821"/>
      <c r="O288" s="821"/>
      <c r="P288" s="821"/>
      <c r="AJ288" s="3"/>
    </row>
    <row r="289" spans="14:36" hidden="1" x14ac:dyDescent="0.25">
      <c r="N289" s="821"/>
      <c r="O289" s="821"/>
      <c r="P289" s="821"/>
      <c r="AJ289" s="3"/>
    </row>
    <row r="290" spans="14:36" hidden="1" x14ac:dyDescent="0.25">
      <c r="N290" s="821"/>
      <c r="O290" s="821"/>
      <c r="P290" s="821"/>
      <c r="AJ290" s="3"/>
    </row>
    <row r="291" spans="14:36" hidden="1" x14ac:dyDescent="0.25">
      <c r="N291" s="821"/>
      <c r="O291" s="821"/>
      <c r="P291" s="821"/>
      <c r="AJ291" s="3"/>
    </row>
    <row r="292" spans="14:36" hidden="1" x14ac:dyDescent="0.25">
      <c r="N292" s="821"/>
      <c r="O292" s="821"/>
      <c r="P292" s="821"/>
      <c r="AJ292" s="3"/>
    </row>
    <row r="293" spans="14:36" hidden="1" x14ac:dyDescent="0.25">
      <c r="N293" s="821"/>
      <c r="O293" s="821"/>
      <c r="P293" s="821"/>
      <c r="AJ293" s="3"/>
    </row>
    <row r="294" spans="14:36" hidden="1" x14ac:dyDescent="0.25">
      <c r="N294" s="821"/>
      <c r="O294" s="821"/>
      <c r="P294" s="821"/>
      <c r="AJ294" s="3"/>
    </row>
    <row r="295" spans="14:36" hidden="1" x14ac:dyDescent="0.25">
      <c r="N295" s="821"/>
      <c r="O295" s="821"/>
      <c r="P295" s="821"/>
      <c r="AJ295" s="3"/>
    </row>
    <row r="296" spans="14:36" hidden="1" x14ac:dyDescent="0.25">
      <c r="N296" s="821"/>
      <c r="O296" s="821"/>
      <c r="P296" s="821"/>
      <c r="AJ296" s="3"/>
    </row>
    <row r="297" spans="14:36" hidden="1" x14ac:dyDescent="0.25">
      <c r="N297" s="821"/>
      <c r="O297" s="821"/>
      <c r="P297" s="821"/>
      <c r="AJ297" s="3"/>
    </row>
    <row r="298" spans="14:36" hidden="1" x14ac:dyDescent="0.25">
      <c r="N298" s="821"/>
      <c r="O298" s="821"/>
      <c r="P298" s="821"/>
      <c r="AJ298" s="3"/>
    </row>
    <row r="299" spans="14:36" hidden="1" x14ac:dyDescent="0.25">
      <c r="N299" s="821"/>
      <c r="O299" s="821"/>
      <c r="P299" s="821"/>
      <c r="AJ299" s="3"/>
    </row>
    <row r="300" spans="14:36" hidden="1" x14ac:dyDescent="0.25">
      <c r="N300" s="821"/>
      <c r="O300" s="821"/>
      <c r="P300" s="821"/>
      <c r="AJ300" s="3"/>
    </row>
    <row r="301" spans="14:36" hidden="1" x14ac:dyDescent="0.25">
      <c r="N301" s="821"/>
      <c r="O301" s="821"/>
      <c r="P301" s="821"/>
      <c r="AJ301" s="3"/>
    </row>
    <row r="302" spans="14:36" hidden="1" x14ac:dyDescent="0.25">
      <c r="N302" s="821"/>
      <c r="O302" s="821"/>
      <c r="P302" s="821"/>
      <c r="AJ302" s="3"/>
    </row>
    <row r="303" spans="14:36" hidden="1" x14ac:dyDescent="0.25">
      <c r="N303" s="821"/>
      <c r="O303" s="821"/>
      <c r="P303" s="821"/>
      <c r="AJ303" s="3"/>
    </row>
    <row r="304" spans="14:36" hidden="1" x14ac:dyDescent="0.25">
      <c r="N304" s="821"/>
      <c r="O304" s="821"/>
      <c r="P304" s="821"/>
      <c r="AJ304" s="3"/>
    </row>
    <row r="305" spans="14:36" hidden="1" x14ac:dyDescent="0.25">
      <c r="N305" s="821"/>
      <c r="O305" s="821"/>
      <c r="P305" s="821"/>
      <c r="AJ305" s="3"/>
    </row>
    <row r="306" spans="14:36" hidden="1" x14ac:dyDescent="0.25">
      <c r="N306" s="821"/>
      <c r="O306" s="821"/>
      <c r="P306" s="821"/>
      <c r="AJ306" s="3"/>
    </row>
    <row r="307" spans="14:36" hidden="1" x14ac:dyDescent="0.25">
      <c r="N307" s="821"/>
      <c r="O307" s="821"/>
      <c r="P307" s="821"/>
      <c r="AJ307" s="3"/>
    </row>
    <row r="308" spans="14:36" hidden="1" x14ac:dyDescent="0.25">
      <c r="N308" s="821"/>
      <c r="O308" s="821"/>
      <c r="P308" s="821"/>
      <c r="AJ308" s="3"/>
    </row>
    <row r="309" spans="14:36" hidden="1" x14ac:dyDescent="0.25">
      <c r="N309" s="821"/>
      <c r="O309" s="821"/>
      <c r="P309" s="821"/>
      <c r="AJ309" s="3"/>
    </row>
    <row r="310" spans="14:36" hidden="1" x14ac:dyDescent="0.25">
      <c r="N310" s="821"/>
      <c r="O310" s="821"/>
      <c r="P310" s="821"/>
      <c r="AJ310" s="3"/>
    </row>
    <row r="311" spans="14:36" hidden="1" x14ac:dyDescent="0.25">
      <c r="N311" s="821"/>
      <c r="O311" s="821"/>
      <c r="P311" s="821"/>
      <c r="AJ311" s="3"/>
    </row>
    <row r="312" spans="14:36" hidden="1" x14ac:dyDescent="0.25">
      <c r="N312" s="821"/>
      <c r="O312" s="821"/>
      <c r="P312" s="821"/>
      <c r="AJ312" s="3"/>
    </row>
    <row r="313" spans="14:36" hidden="1" x14ac:dyDescent="0.25">
      <c r="N313" s="821"/>
      <c r="O313" s="821"/>
      <c r="P313" s="821"/>
      <c r="AJ313" s="3"/>
    </row>
    <row r="314" spans="14:36" hidden="1" x14ac:dyDescent="0.25">
      <c r="N314" s="821"/>
      <c r="O314" s="821"/>
      <c r="P314" s="821"/>
      <c r="AJ314" s="3"/>
    </row>
    <row r="315" spans="14:36" hidden="1" x14ac:dyDescent="0.25">
      <c r="N315" s="821"/>
      <c r="O315" s="821"/>
      <c r="P315" s="821"/>
      <c r="AJ315" s="3"/>
    </row>
    <row r="316" spans="14:36" hidden="1" x14ac:dyDescent="0.25">
      <c r="N316" s="821"/>
      <c r="O316" s="821"/>
      <c r="P316" s="821"/>
      <c r="AJ316" s="3"/>
    </row>
    <row r="317" spans="14:36" hidden="1" x14ac:dyDescent="0.25">
      <c r="N317" s="821"/>
      <c r="O317" s="821"/>
      <c r="P317" s="821"/>
      <c r="AJ317" s="3"/>
    </row>
    <row r="318" spans="14:36" hidden="1" x14ac:dyDescent="0.25">
      <c r="N318" s="821"/>
      <c r="O318" s="821"/>
      <c r="P318" s="821"/>
      <c r="AJ318" s="7"/>
    </row>
    <row r="319" spans="14:36" hidden="1" x14ac:dyDescent="0.25">
      <c r="N319" s="821"/>
      <c r="O319" s="821"/>
      <c r="P319" s="821"/>
    </row>
    <row r="320" spans="14:36" hidden="1" x14ac:dyDescent="0.25">
      <c r="N320" s="821"/>
      <c r="O320" s="821"/>
      <c r="P320" s="821"/>
    </row>
    <row r="321" spans="14:16" hidden="1" x14ac:dyDescent="0.25">
      <c r="N321" s="821"/>
      <c r="O321" s="821"/>
      <c r="P321" s="821"/>
    </row>
    <row r="322" spans="14:16" hidden="1" x14ac:dyDescent="0.25">
      <c r="N322" s="821"/>
      <c r="O322" s="821"/>
      <c r="P322" s="821"/>
    </row>
    <row r="323" spans="14:16" hidden="1" x14ac:dyDescent="0.25">
      <c r="N323" s="821"/>
      <c r="O323" s="821"/>
      <c r="P323" s="821"/>
    </row>
    <row r="324" spans="14:16" hidden="1" x14ac:dyDescent="0.25">
      <c r="N324" s="821"/>
      <c r="O324" s="821"/>
      <c r="P324" s="821"/>
    </row>
    <row r="325" spans="14:16" hidden="1" x14ac:dyDescent="0.25">
      <c r="N325" s="821"/>
      <c r="O325" s="821"/>
      <c r="P325" s="821"/>
    </row>
    <row r="326" spans="14:16" hidden="1" x14ac:dyDescent="0.25">
      <c r="N326" s="821"/>
      <c r="O326" s="821"/>
      <c r="P326" s="821"/>
    </row>
    <row r="327" spans="14:16" hidden="1" x14ac:dyDescent="0.25">
      <c r="N327" s="821"/>
      <c r="O327" s="821"/>
      <c r="P327" s="821"/>
    </row>
    <row r="328" spans="14:16" hidden="1" x14ac:dyDescent="0.25">
      <c r="N328" s="821"/>
      <c r="O328" s="821"/>
      <c r="P328" s="821"/>
    </row>
    <row r="329" spans="14:16" hidden="1" x14ac:dyDescent="0.25">
      <c r="N329" s="821"/>
      <c r="O329" s="821"/>
      <c r="P329" s="821"/>
    </row>
    <row r="330" spans="14:16" hidden="1" x14ac:dyDescent="0.25">
      <c r="N330" s="821"/>
      <c r="O330" s="821"/>
      <c r="P330" s="821"/>
    </row>
    <row r="331" spans="14:16" hidden="1" x14ac:dyDescent="0.25">
      <c r="N331" s="821"/>
      <c r="O331" s="821"/>
      <c r="P331" s="821"/>
    </row>
    <row r="332" spans="14:16" hidden="1" x14ac:dyDescent="0.25">
      <c r="N332" s="821"/>
      <c r="O332" s="821"/>
      <c r="P332" s="821"/>
    </row>
    <row r="333" spans="14:16" x14ac:dyDescent="0.25">
      <c r="N333" s="821"/>
      <c r="O333" s="821"/>
      <c r="P333" s="821"/>
    </row>
    <row r="334" spans="14:16" x14ac:dyDescent="0.25">
      <c r="N334" s="821"/>
      <c r="O334" s="821"/>
      <c r="P334" s="821"/>
    </row>
    <row r="335" spans="14:16" x14ac:dyDescent="0.25">
      <c r="N335" s="821"/>
      <c r="O335" s="821"/>
      <c r="P335" s="821"/>
    </row>
    <row r="336" spans="14:16" x14ac:dyDescent="0.25">
      <c r="N336" s="821"/>
      <c r="O336" s="821"/>
      <c r="P336" s="821"/>
    </row>
    <row r="337" spans="14:16" x14ac:dyDescent="0.25">
      <c r="N337" s="821"/>
      <c r="O337" s="821"/>
      <c r="P337" s="821"/>
    </row>
    <row r="338" spans="14:16" x14ac:dyDescent="0.25">
      <c r="N338" s="821"/>
      <c r="O338" s="821"/>
      <c r="P338" s="821"/>
    </row>
    <row r="339" spans="14:16" x14ac:dyDescent="0.25">
      <c r="N339" s="821"/>
      <c r="O339" s="821"/>
      <c r="P339" s="821"/>
    </row>
    <row r="340" spans="14:16" x14ac:dyDescent="0.25">
      <c r="N340" s="821"/>
      <c r="O340" s="821"/>
      <c r="P340" s="821"/>
    </row>
    <row r="341" spans="14:16" x14ac:dyDescent="0.25">
      <c r="N341" s="821"/>
      <c r="O341" s="821"/>
      <c r="P341" s="821"/>
    </row>
    <row r="342" spans="14:16" x14ac:dyDescent="0.25">
      <c r="N342" s="821"/>
      <c r="O342" s="821"/>
      <c r="P342" s="821"/>
    </row>
    <row r="343" spans="14:16" x14ac:dyDescent="0.25">
      <c r="N343" s="821"/>
      <c r="O343" s="821"/>
      <c r="P343" s="821"/>
    </row>
    <row r="344" spans="14:16" x14ac:dyDescent="0.25">
      <c r="N344" s="821"/>
      <c r="O344" s="821"/>
      <c r="P344" s="821"/>
    </row>
    <row r="345" spans="14:16" x14ac:dyDescent="0.25">
      <c r="N345" s="821"/>
      <c r="O345" s="821"/>
      <c r="P345" s="821"/>
    </row>
    <row r="346" spans="14:16" x14ac:dyDescent="0.25">
      <c r="N346" s="821"/>
      <c r="O346" s="821"/>
      <c r="P346" s="821"/>
    </row>
    <row r="347" spans="14:16" x14ac:dyDescent="0.25">
      <c r="N347" s="821"/>
      <c r="O347" s="821"/>
      <c r="P347" s="821"/>
    </row>
    <row r="348" spans="14:16" x14ac:dyDescent="0.25">
      <c r="N348" s="821"/>
      <c r="O348" s="821"/>
      <c r="P348" s="821"/>
    </row>
    <row r="349" spans="14:16" x14ac:dyDescent="0.25">
      <c r="N349" s="821"/>
      <c r="O349" s="821"/>
      <c r="P349" s="821"/>
    </row>
    <row r="350" spans="14:16" x14ac:dyDescent="0.25">
      <c r="N350" s="821"/>
      <c r="O350" s="821"/>
      <c r="P350" s="821"/>
    </row>
    <row r="385" spans="5:26" ht="15.75" x14ac:dyDescent="0.25">
      <c r="E385" s="6"/>
      <c r="F385" s="6"/>
      <c r="G385" s="6"/>
      <c r="H385" s="6"/>
      <c r="I385" s="6"/>
      <c r="J385" s="6"/>
      <c r="K385" s="6"/>
      <c r="L385" s="25"/>
      <c r="N385" s="762"/>
      <c r="O385" s="762"/>
      <c r="P385" s="762"/>
      <c r="Q385" s="762"/>
      <c r="R385" s="762"/>
      <c r="S385" s="762"/>
      <c r="U385" s="263"/>
      <c r="V385" s="263"/>
      <c r="W385" s="263"/>
      <c r="X385" s="263"/>
      <c r="Y385" s="263"/>
      <c r="Z385" s="762"/>
    </row>
  </sheetData>
  <sheetProtection algorithmName="SHA-512" hashValue="CIbimWWWMlqgf/f7UlrcI1MdbTAzHCC7lC86w4LecJRCYfrLjNTEgAhjArLHy8VkXzu5xXjtGWCxgJC+zLOd/g==" saltValue="gfbK49Ue9u5IucSvmon+sw==" spinCount="100000" sheet="1" formatCells="0" formatColumns="0" formatRows="0" selectLockedCells="1" sort="0" autoFilter="0"/>
  <protectedRanges>
    <protectedRange sqref="M11:N11 M17:N20 M27:N27 M31:N31 D11:F11 D17:D20 D27 D31 D36:O36 C41:D41 D42:D45 B37:O37 E12:F24 G12:K16 G18:K19 H11:K11 G21:K24 G28:K30 G32:K34 N12:N16 N21:N24 N28:N30 N32:N34 H17:K17 H20:K20 H27:K27 H31:K31 D35:N35 Z11:AB11 H38:K38 D66:F66 H66:K66 D95:F95 H95:K95 H104:K104 D118:F118 H118:K118 D148:F148 H148:K148 D163:F163 H163:K163 D195:F195 H195:K195 D46:F46 D51:F51 D55:F55 H55:K55 D58:F58 H58:K58 D61:F61 H61:K61 D73:F73 H73:K73 D77:F77 H77:K77 D80:F80 H80:K80 D83:F83 H83:K83 D87:F87 H87:K87 D90:F90 H90:K90 D98:F98 H98:K98 D107:F107 H107:K107 D109:F109 H109:K109 D113:F113 H113:K113 D122:F122 H122:K122 D126:F126 H126:K126 D130:F130 H130:K130 H136:K136 D141:F141 H141:K141 D154:F154 H154:K154 D156:F156 H156:K156 D158:F158 H158:K158 D166:F166 H166:K166 D174:F174 H174:K174 D178:F178 H178:K178 D182:F182 H182:K182 D184:F184 H184:K184 D187:F187 H187:K187 D200:F200 H200:K200 D203:F203 H203:K203 D206:F206 H206:K206 E41:K45 D52:K54 D59:K60 D62:K62 D74:K76 D78:K79 D81:K82 D88:K89 D91:K91 E96:K97 D108:K108 D110:K112 D114:K114 M104:O104 E121:K121 E138:K140 E142:K144 D155:K155 D157:K157 D159:K159 M148:O148 D183:K183 D201:K202 D204:K205 D207:K208 AC95:AF98 AC118:AF134 A250:A252 D56:K57 D119:K120 E123:K125 E127:K129 D167:K169 D172:K173 D175:K177 D179:K181 D185:K186 D63:O65 D92:O94 D101:O103 D115:O117 D145:O147 D160:O162 D192:O194 D209:O225 M38:O38 M118:O136 D131:K135 D196:K199 M195:O208 E27:F34 O27:O35 E25:K26 N25:O26 B11:C36 D84:K86 D99:K100 M95:O100 AC11:AF38 M163:O164 O11:P13 B226:O226 S214:V226 O14:O24 P14:P38 Z214:AF226 M66:O69 AA17:AB20 AA27:AB27 AA31:AB31 AA66:AB66 AA95:AB95 AA148:AB149 AA122:AB122 AA126:AB126 AA141:AB141 AA73:AB84 AA98:AB98 AA154:AB159 AA51:AB62 AA118:AB120 AA130:AB134 AA136:AB137 AA135:AF135 AA35:AB38 AA63:AF65 AA85:AF94 AA145:AF147 B227:AF227 A9:AF10 A245:AF248 B236:AF236 A254:AF259 A228:AF231 B251:AF252 B38:F38 M41:O62 P41:P69 AC41:AF62 AA41:AB46 D188:K191 M191:O191 P191:P226 W191:W226 T191:V213 M154:O159 P154:R164 D164:K165 Q166:R226 M165:R165 X166:Y226 D104:F104 P106:R136 AA99:AF117 AC148:AF159 D136:F136 M138:O144 P138:R148 D137:K137 M137:R137 AC136:AF144 B39:K40 M39:P40 AA39:AF40 E150:K153 D149:K149 M149:R153 M106:O114 M105:R105 D105:K106 D170:F171 H170:K171 M166:P190 T166:W190 AA160:AF213 E67:K72 P72:P104 M72:O91 T11:Y165 M70:P71 B41:B225 C42:C225 AC66:AF84 Q11:R104 A11:A227 E47:F50 H46:K51 G47:G51" name="Sortering"/>
    <protectedRange sqref="L38:L62 L104:L114 L195:L208 L11:L34 L66 L95:L100 L163:L191 L148:L159 L118:L144 L68:L91" name="Sortering_1"/>
    <protectedRange sqref="S11" name="Sortering_5"/>
    <protectedRange sqref="S20 S27 S31 S35:S37 S63:S65 S92:S94 S101:S103 S115:S117 S145:S147 S160:S162 S192:S194 S209:S213" name="Sortering_2"/>
    <protectedRange sqref="S38:S40 S66 S95 S104 S118 S148 S163 S195" name="Sortering_5_1"/>
    <protectedRange sqref="S12:S19 S28:S30 S32:S34 S41:S62 S196:S208 S21:S26 S96:S100 S164:S191 L67 Z67 S105:S114 S149:S159 S119:S144 S67:S91" name="Sortering_6_1"/>
    <protectedRange sqref="Z12:Z66 Z68:Z213" name="Sortering_3"/>
  </protectedRanges>
  <autoFilter ref="A9:AF227" xr:uid="{00000000-0009-0000-0000-000002000000}">
    <sortState xmlns:xlrd2="http://schemas.microsoft.com/office/spreadsheetml/2017/richdata2" ref="A10:AF227">
      <sortCondition ref="A9:A227"/>
    </sortState>
  </autoFilter>
  <mergeCells count="5">
    <mergeCell ref="AD8:AF8"/>
    <mergeCell ref="G3:K3"/>
    <mergeCell ref="N3:S3"/>
    <mergeCell ref="U3:Z3"/>
    <mergeCell ref="AB4:AB8"/>
  </mergeCells>
  <phoneticPr fontId="22" type="noConversion"/>
  <conditionalFormatting sqref="J211:K220 J145:K147 J192:K194 J10:K11 J35:K37 J101:K103 J245:K248 J254:K259 J63:K65 J92:K94 J115:K117 J160:K162 J196:K196 J251:K252 J236:K236 J172:K173 J27:K33 J86:K86 K133:K134 J67:K72">
    <cfRule type="expression" dxfId="4044" priority="4677">
      <formula>$AD10=4</formula>
    </cfRule>
    <cfRule type="expression" dxfId="4043" priority="4678">
      <formula>$AD10=3</formula>
    </cfRule>
    <cfRule type="expression" dxfId="4042" priority="4679">
      <formula>$AD10=2</formula>
    </cfRule>
    <cfRule type="expression" dxfId="4041" priority="4680">
      <formula>$AD10=1</formula>
    </cfRule>
  </conditionalFormatting>
  <conditionalFormatting sqref="Q211:R220 Q146:R147 Q193:R194 Q10:R11 Q17:R20 Q27:R27 Q35:R37 Q102:R103 Q31:R31 Q245:R248 Q254:R259 Q64:R65 Q93:R94 Q116:R117 Q161:R162 Q196:R196 Q251:R252 Q236:R236 Q172:R173 Q86:R86 Q67:R72">
    <cfRule type="expression" dxfId="4040" priority="4673">
      <formula>$AE10=4</formula>
    </cfRule>
    <cfRule type="expression" dxfId="4039" priority="4674">
      <formula>$AE10=3</formula>
    </cfRule>
    <cfRule type="expression" dxfId="4038" priority="4675">
      <formula>$AE10=2</formula>
    </cfRule>
    <cfRule type="expression" dxfId="4037" priority="4676">
      <formula>$AE10=1</formula>
    </cfRule>
  </conditionalFormatting>
  <conditionalFormatting sqref="X211:Y220 X145:Y147 X192:Y194 X10:Y11 X17:Y20 X27:Y27 X35:Y37 X101:Y103 X31:Y31 X245:Y248 X254:Y259 X63:Y65 X92:Y94 X115:Y117 X160:Y162 X196:Y196 X251:Y252 X236:Y236 X172:Y173 X86:Y86 X67:Y72">
    <cfRule type="expression" dxfId="4036" priority="4669">
      <formula>$AF10=4</formula>
    </cfRule>
    <cfRule type="expression" dxfId="4035" priority="4670">
      <formula>$AF10=3</formula>
    </cfRule>
    <cfRule type="expression" dxfId="4034" priority="4671">
      <formula>$AF10=2</formula>
    </cfRule>
    <cfRule type="expression" dxfId="4033" priority="4672">
      <formula>$AF10=1</formula>
    </cfRule>
  </conditionalFormatting>
  <conditionalFormatting sqref="J209:K210">
    <cfRule type="expression" dxfId="4032" priority="4581">
      <formula>$AD209=4</formula>
    </cfRule>
    <cfRule type="expression" dxfId="4031" priority="4582">
      <formula>$AD209=3</formula>
    </cfRule>
    <cfRule type="expression" dxfId="4030" priority="4583">
      <formula>$AD209=2</formula>
    </cfRule>
    <cfRule type="expression" dxfId="4029" priority="4584">
      <formula>$AD209=1</formula>
    </cfRule>
  </conditionalFormatting>
  <conditionalFormatting sqref="Q210:R210">
    <cfRule type="expression" dxfId="4028" priority="4577">
      <formula>$AE210=4</formula>
    </cfRule>
    <cfRule type="expression" dxfId="4027" priority="4578">
      <formula>$AE210=3</formula>
    </cfRule>
    <cfRule type="expression" dxfId="4026" priority="4579">
      <formula>$AE210=2</formula>
    </cfRule>
    <cfRule type="expression" dxfId="4025" priority="4580">
      <formula>$AE210=1</formula>
    </cfRule>
  </conditionalFormatting>
  <conditionalFormatting sqref="X209:Y210">
    <cfRule type="expression" dxfId="4024" priority="4573">
      <formula>$AF209=4</formula>
    </cfRule>
    <cfRule type="expression" dxfId="4023" priority="4574">
      <formula>$AF209=3</formula>
    </cfRule>
    <cfRule type="expression" dxfId="4022" priority="4575">
      <formula>$AF209=2</formula>
    </cfRule>
    <cfRule type="expression" dxfId="4021" priority="4576">
      <formula>$AF209=1</formula>
    </cfRule>
  </conditionalFormatting>
  <conditionalFormatting sqref="J226:K227">
    <cfRule type="expression" dxfId="4020" priority="4569">
      <formula>$AD226=4</formula>
    </cfRule>
    <cfRule type="expression" dxfId="4019" priority="4570">
      <formula>$AD226=3</formula>
    </cfRule>
    <cfRule type="expression" dxfId="4018" priority="4571">
      <formula>$AD226=2</formula>
    </cfRule>
    <cfRule type="expression" dxfId="4017" priority="4572">
      <formula>$AD226=1</formula>
    </cfRule>
  </conditionalFormatting>
  <conditionalFormatting sqref="Q227:R227">
    <cfRule type="expression" dxfId="4016" priority="4565">
      <formula>$AE227=4</formula>
    </cfRule>
    <cfRule type="expression" dxfId="4015" priority="4566">
      <formula>$AE227=3</formula>
    </cfRule>
    <cfRule type="expression" dxfId="4014" priority="4567">
      <formula>$AE227=2</formula>
    </cfRule>
    <cfRule type="expression" dxfId="4013" priority="4568">
      <formula>$AE227=1</formula>
    </cfRule>
  </conditionalFormatting>
  <conditionalFormatting sqref="X226:Y227">
    <cfRule type="expression" dxfId="4012" priority="4561">
      <formula>$AF226=4</formula>
    </cfRule>
    <cfRule type="expression" dxfId="4011" priority="4562">
      <formula>$AF226=3</formula>
    </cfRule>
    <cfRule type="expression" dxfId="4010" priority="4563">
      <formula>$AF226=2</formula>
    </cfRule>
    <cfRule type="expression" dxfId="4009" priority="4564">
      <formula>$AF226=1</formula>
    </cfRule>
  </conditionalFormatting>
  <conditionalFormatting sqref="G145:L147 G192:L194 Z226 G226:L226 G10:L10 N10:S10 N36:O37 G35:L37 N102:O103 AZ141 G101:L103 H11:K11 N18:N19 L221:L224 U10:Y10 U102:V103 Z214:Z220 AZ10:AZ11 AZ17:AZ20 AZ245 G245:L245 U245:Z245 S245:S246 AZ27 N245:R247 K246:K247 G246:G247 U246:W247 AZ35:AZ46 AZ247:AZ248 AZ31 N248:S248 U248:Z248 G248:L248 AZ51:AZ66 AZ73:AZ84 AZ251:AZ252 N251:S252 U251:Z252 G251:L252 U254:W254 AZ98 AZ122 G254 AZ130:AZ134 AZ126 U146:V147 N146:O147 U255:Z258 G255:L258 AZ145:AZ149 AZ254:AZ259 U259:W259 G259 N254:S259 G21:G24 G28:G30 G32:G34 H12:I24 N35 G63:L65 U64:V65 N64:O65 U93:V94 N93:O94 G92:L94 N116:O117 G115:L117 U116:V117 G160:L162 N161:O162 U161:V162 N193:O194 U193:V194 G209:L220 U210:V211 N210:O211 G196:L196 N196:O196 U196:V196 N236:P236 U236:W236 G236 AZ200:AZ226 N63 N92 N101 N115 N145 N160 N192 N209 AZ136:AZ137 H27:I34 AZ86:AZ95 AZ100:AZ120 AZ154:AZ196 O172:O173 V172:V173 H172:L173 G225:I225 L15:L24 J27:L33 Z10:Z11 O27:O35 V20 V27 V31 U35:V37 V17 X47:Y50 X52:Y54 X56:Y57 X59:Y60 H41:I62 X74:Y76 X78:Y79 X81:Y82 J86:L86 G86 N86:O86 U86:V86 X88:Y89 X108:Y108 X110:Y112 H106:I114 X123:Y125 X127:Y129 K133:K134 X138:Y140 X155:Y155 X157:Y157 H150:I152 X167:Y169 H164:I164 X175:Y177 X179:Y181 X183:Y183 X185:Y186 X201:Y202 X204:Y205 H200:I208 N212:N226 V197 U63 U92 U101 U115 U145 U160 U192 U209 U212:U226 X131:Y135 H119:I136 G198:L199 N198:O199 U198:V199 X84:Y86 H67:I69 H96:I100 S214:S225 Q193:R208 Q161:R164 Q116:R136 Q93:R100 Q146:R148 Q102:R104 Q11:R62 X172:Y173 X207:Y226 X188:Y199 X159:Y164 X114:Y121 X91:Y97 X142:Y148 X100:Y104 X16:Y45 Q210:R225 X11:Y14 Q226:S226 H174:I191 H154:I159 Q154:R159 Q166:R191 R165 X106:Y106 Q106:R114 X150:Y152 Q150:R152 Q138:R144 H138:I144 H166:I171 H71:I91 Q64:R91 X62:Y72 N67:O72 J67:K72 L68:L72 V67:V72 G47">
    <cfRule type="expression" dxfId="4008" priority="4560">
      <formula>$AC10=2</formula>
    </cfRule>
  </conditionalFormatting>
  <conditionalFormatting sqref="G145:G147 G192:G194 G226 G10 G35:G37 G101:G103 G256 G63:G65 G92:G94 G115:G117 G160:G162 G209:G220 G196 G47">
    <cfRule type="expression" dxfId="4007" priority="4557">
      <formula>G10&gt;F10</formula>
    </cfRule>
  </conditionalFormatting>
  <conditionalFormatting sqref="N146:O147 N193:O194 N226 N10:P10 N18:N19 N36:O37 N102:O103 N256:P256 N35 N64:O65 N93:O94 N116:O117 N161:O162 N210:O211 N196 N212:N220 N63 N92 N101 N115 N145 N160 N192 N209 N67:N72">
    <cfRule type="expression" dxfId="4006" priority="4556">
      <formula>N10&gt;F10</formula>
    </cfRule>
  </conditionalFormatting>
  <conditionalFormatting sqref="U146:V147 U193:V194 U10:W10 U36:V37 U102:V103 U256:W256 U35 U64:V65 U93:V94 U116:V117 U161:V162 U210:V211 U196 U212:U220 U86">
    <cfRule type="expression" dxfId="4005" priority="4555">
      <formula>U10&gt;F10</formula>
    </cfRule>
  </conditionalFormatting>
  <conditionalFormatting sqref="N4:P4">
    <cfRule type="expression" dxfId="4004" priority="4549">
      <formula>$S$8="No"</formula>
    </cfRule>
  </conditionalFormatting>
  <conditionalFormatting sqref="U4:W4">
    <cfRule type="expression" dxfId="4003" priority="4548">
      <formula>$Z$8="No"</formula>
    </cfRule>
  </conditionalFormatting>
  <conditionalFormatting sqref="AB10:AB11 AB17:AB20 AB27 AB31 AB35:AB38 AB51:AB66 AB41:AB46 AB122 AB126 AB141 AB145:AB149 AB254:AB259 AB251:AB252 AB236 AB245:AB248 AB154:AB226 AB130:AB137 AB73:AB95 AB98:AB120">
    <cfRule type="expression" dxfId="4002" priority="4483">
      <formula>$AJ$4="Nei"</formula>
    </cfRule>
    <cfRule type="expression" dxfId="4001" priority="4484">
      <formula>$AC10=2</formula>
    </cfRule>
  </conditionalFormatting>
  <conditionalFormatting sqref="AB4">
    <cfRule type="expression" dxfId="4000" priority="4481">
      <formula>$AJ$4=ais_nei</formula>
    </cfRule>
  </conditionalFormatting>
  <conditionalFormatting sqref="O109">
    <cfRule type="expression" dxfId="3999" priority="2898">
      <formula>$AC109=2</formula>
    </cfRule>
  </conditionalFormatting>
  <conditionalFormatting sqref="J109:K109">
    <cfRule type="expression" dxfId="3998" priority="2900">
      <formula>$AC109=2</formula>
    </cfRule>
  </conditionalFormatting>
  <conditionalFormatting sqref="J221">
    <cfRule type="expression" dxfId="3997" priority="4355">
      <formula>$AD221=4</formula>
    </cfRule>
    <cfRule type="expression" dxfId="3996" priority="4356">
      <formula>$AD221=3</formula>
    </cfRule>
    <cfRule type="expression" dxfId="3995" priority="4357">
      <formula>$AD221=2</formula>
    </cfRule>
    <cfRule type="expression" dxfId="3994" priority="4358">
      <formula>$AD221=1</formula>
    </cfRule>
  </conditionalFormatting>
  <conditionalFormatting sqref="Q221:R221">
    <cfRule type="expression" dxfId="3993" priority="4351">
      <formula>$AE221=4</formula>
    </cfRule>
    <cfRule type="expression" dxfId="3992" priority="4352">
      <formula>$AE221=3</formula>
    </cfRule>
    <cfRule type="expression" dxfId="3991" priority="4353">
      <formula>$AE221=2</formula>
    </cfRule>
    <cfRule type="expression" dxfId="3990" priority="4354">
      <formula>$AE221=1</formula>
    </cfRule>
  </conditionalFormatting>
  <conditionalFormatting sqref="X221:Y221">
    <cfRule type="expression" dxfId="3989" priority="4347">
      <formula>$AF221=4</formula>
    </cfRule>
    <cfRule type="expression" dxfId="3988" priority="4348">
      <formula>$AF221=3</formula>
    </cfRule>
    <cfRule type="expression" dxfId="3987" priority="4349">
      <formula>$AF221=2</formula>
    </cfRule>
    <cfRule type="expression" dxfId="3986" priority="4350">
      <formula>$AF221=1</formula>
    </cfRule>
  </conditionalFormatting>
  <conditionalFormatting sqref="G221:J221">
    <cfRule type="expression" dxfId="3985" priority="4346">
      <formula>$AC221=2</formula>
    </cfRule>
  </conditionalFormatting>
  <conditionalFormatting sqref="G221">
    <cfRule type="expression" dxfId="3984" priority="4345">
      <formula>G221&gt;F221</formula>
    </cfRule>
  </conditionalFormatting>
  <conditionalFormatting sqref="N221">
    <cfRule type="expression" dxfId="3983" priority="4344">
      <formula>N221&gt;F221</formula>
    </cfRule>
  </conditionalFormatting>
  <conditionalFormatting sqref="U221">
    <cfRule type="expression" dxfId="3982" priority="4343">
      <formula>U221&gt;F221</formula>
    </cfRule>
  </conditionalFormatting>
  <conditionalFormatting sqref="J222">
    <cfRule type="expression" dxfId="3981" priority="4335">
      <formula>$AD222=4</formula>
    </cfRule>
    <cfRule type="expression" dxfId="3980" priority="4336">
      <formula>$AD222=3</formula>
    </cfRule>
    <cfRule type="expression" dxfId="3979" priority="4337">
      <formula>$AD222=2</formula>
    </cfRule>
    <cfRule type="expression" dxfId="3978" priority="4338">
      <formula>$AD222=1</formula>
    </cfRule>
  </conditionalFormatting>
  <conditionalFormatting sqref="Q222:R222">
    <cfRule type="expression" dxfId="3977" priority="4331">
      <formula>$AE222=4</formula>
    </cfRule>
    <cfRule type="expression" dxfId="3976" priority="4332">
      <formula>$AE222=3</formula>
    </cfRule>
    <cfRule type="expression" dxfId="3975" priority="4333">
      <formula>$AE222=2</formula>
    </cfRule>
    <cfRule type="expression" dxfId="3974" priority="4334">
      <formula>$AE222=1</formula>
    </cfRule>
  </conditionalFormatting>
  <conditionalFormatting sqref="X222:Y222">
    <cfRule type="expression" dxfId="3973" priority="4327">
      <formula>$AF222=4</formula>
    </cfRule>
    <cfRule type="expression" dxfId="3972" priority="4328">
      <formula>$AF222=3</formula>
    </cfRule>
    <cfRule type="expression" dxfId="3971" priority="4329">
      <formula>$AF222=2</formula>
    </cfRule>
    <cfRule type="expression" dxfId="3970" priority="4330">
      <formula>$AF222=1</formula>
    </cfRule>
  </conditionalFormatting>
  <conditionalFormatting sqref="G222:J222">
    <cfRule type="expression" dxfId="3969" priority="4326">
      <formula>$AC222=2</formula>
    </cfRule>
  </conditionalFormatting>
  <conditionalFormatting sqref="G222">
    <cfRule type="expression" dxfId="3968" priority="4325">
      <formula>G222&gt;F222</formula>
    </cfRule>
  </conditionalFormatting>
  <conditionalFormatting sqref="N222">
    <cfRule type="expression" dxfId="3967" priority="4324">
      <formula>N222&gt;F222</formula>
    </cfRule>
  </conditionalFormatting>
  <conditionalFormatting sqref="U222">
    <cfRule type="expression" dxfId="3966" priority="4323">
      <formula>U222&gt;F222</formula>
    </cfRule>
  </conditionalFormatting>
  <conditionalFormatting sqref="J223">
    <cfRule type="expression" dxfId="3965" priority="4315">
      <formula>$AD223=4</formula>
    </cfRule>
    <cfRule type="expression" dxfId="3964" priority="4316">
      <formula>$AD223=3</formula>
    </cfRule>
    <cfRule type="expression" dxfId="3963" priority="4317">
      <formula>$AD223=2</formula>
    </cfRule>
    <cfRule type="expression" dxfId="3962" priority="4318">
      <formula>$AD223=1</formula>
    </cfRule>
  </conditionalFormatting>
  <conditionalFormatting sqref="Q223:R223">
    <cfRule type="expression" dxfId="3961" priority="4311">
      <formula>$AE223=4</formula>
    </cfRule>
    <cfRule type="expression" dxfId="3960" priority="4312">
      <formula>$AE223=3</formula>
    </cfRule>
    <cfRule type="expression" dxfId="3959" priority="4313">
      <formula>$AE223=2</formula>
    </cfRule>
    <cfRule type="expression" dxfId="3958" priority="4314">
      <formula>$AE223=1</formula>
    </cfRule>
  </conditionalFormatting>
  <conditionalFormatting sqref="X223:Y223">
    <cfRule type="expression" dxfId="3957" priority="4307">
      <formula>$AF223=4</formula>
    </cfRule>
    <cfRule type="expression" dxfId="3956" priority="4308">
      <formula>$AF223=3</formula>
    </cfRule>
    <cfRule type="expression" dxfId="3955" priority="4309">
      <formula>$AF223=2</formula>
    </cfRule>
    <cfRule type="expression" dxfId="3954" priority="4310">
      <formula>$AF223=1</formula>
    </cfRule>
  </conditionalFormatting>
  <conditionalFormatting sqref="G223:J223">
    <cfRule type="expression" dxfId="3953" priority="4306">
      <formula>$AC223=2</formula>
    </cfRule>
  </conditionalFormatting>
  <conditionalFormatting sqref="G223">
    <cfRule type="expression" dxfId="3952" priority="4305">
      <formula>G223&gt;F223</formula>
    </cfRule>
  </conditionalFormatting>
  <conditionalFormatting sqref="N223">
    <cfRule type="expression" dxfId="3951" priority="4304">
      <formula>N223&gt;F223</formula>
    </cfRule>
  </conditionalFormatting>
  <conditionalFormatting sqref="U223">
    <cfRule type="expression" dxfId="3950" priority="4303">
      <formula>U223&gt;F223</formula>
    </cfRule>
  </conditionalFormatting>
  <conditionalFormatting sqref="J224">
    <cfRule type="expression" dxfId="3949" priority="4295">
      <formula>$AD224=4</formula>
    </cfRule>
    <cfRule type="expression" dxfId="3948" priority="4296">
      <formula>$AD224=3</formula>
    </cfRule>
    <cfRule type="expression" dxfId="3947" priority="4297">
      <formula>$AD224=2</formula>
    </cfRule>
    <cfRule type="expression" dxfId="3946" priority="4298">
      <formula>$AD224=1</formula>
    </cfRule>
  </conditionalFormatting>
  <conditionalFormatting sqref="Q224:R224">
    <cfRule type="expression" dxfId="3945" priority="4291">
      <formula>$AE224=4</formula>
    </cfRule>
    <cfRule type="expression" dxfId="3944" priority="4292">
      <formula>$AE224=3</formula>
    </cfRule>
    <cfRule type="expression" dxfId="3943" priority="4293">
      <formula>$AE224=2</formula>
    </cfRule>
    <cfRule type="expression" dxfId="3942" priority="4294">
      <formula>$AE224=1</formula>
    </cfRule>
  </conditionalFormatting>
  <conditionalFormatting sqref="X224:Y224">
    <cfRule type="expression" dxfId="3941" priority="4287">
      <formula>$AF224=4</formula>
    </cfRule>
    <cfRule type="expression" dxfId="3940" priority="4288">
      <formula>$AF224=3</formula>
    </cfRule>
    <cfRule type="expression" dxfId="3939" priority="4289">
      <formula>$AF224=2</formula>
    </cfRule>
    <cfRule type="expression" dxfId="3938" priority="4290">
      <formula>$AF224=1</formula>
    </cfRule>
  </conditionalFormatting>
  <conditionalFormatting sqref="G224:J224">
    <cfRule type="expression" dxfId="3937" priority="4286">
      <formula>$AC224=2</formula>
    </cfRule>
  </conditionalFormatting>
  <conditionalFormatting sqref="G224:G225">
    <cfRule type="expression" dxfId="3936" priority="4285">
      <formula>G224&gt;F224</formula>
    </cfRule>
  </conditionalFormatting>
  <conditionalFormatting sqref="N224">
    <cfRule type="expression" dxfId="3935" priority="4284">
      <formula>N224&gt;F224</formula>
    </cfRule>
  </conditionalFormatting>
  <conditionalFormatting sqref="U224">
    <cfRule type="expression" dxfId="3934" priority="4283">
      <formula>U224&gt;F224</formula>
    </cfRule>
  </conditionalFormatting>
  <conditionalFormatting sqref="G255">
    <cfRule type="expression" dxfId="3933" priority="4265">
      <formula>G255&gt;F255</formula>
    </cfRule>
  </conditionalFormatting>
  <conditionalFormatting sqref="N255:P255">
    <cfRule type="expression" dxfId="3932" priority="4264">
      <formula>N255&gt;F255</formula>
    </cfRule>
  </conditionalFormatting>
  <conditionalFormatting sqref="U255:W255">
    <cfRule type="expression" dxfId="3931" priority="4263">
      <formula>U255&gt;F255</formula>
    </cfRule>
  </conditionalFormatting>
  <conditionalFormatting sqref="G251">
    <cfRule type="expression" dxfId="3930" priority="4255">
      <formula>G251&gt;F251</formula>
    </cfRule>
  </conditionalFormatting>
  <conditionalFormatting sqref="X259:Y259">
    <cfRule type="expression" dxfId="3929" priority="4242">
      <formula>$AC148=2</formula>
    </cfRule>
  </conditionalFormatting>
  <conditionalFormatting sqref="G245">
    <cfRule type="expression" dxfId="3928" priority="4200">
      <formula>G245&gt;F245</formula>
    </cfRule>
  </conditionalFormatting>
  <conditionalFormatting sqref="N245:P245">
    <cfRule type="expression" dxfId="3927" priority="4183">
      <formula>N245&gt;F245</formula>
    </cfRule>
  </conditionalFormatting>
  <conditionalFormatting sqref="U245:W245">
    <cfRule type="expression" dxfId="3926" priority="4182">
      <formula>U245&gt;F245</formula>
    </cfRule>
  </conditionalFormatting>
  <conditionalFormatting sqref="N251:P251">
    <cfRule type="expression" dxfId="3925" priority="4172">
      <formula>N251&gt;F251</formula>
    </cfRule>
  </conditionalFormatting>
  <conditionalFormatting sqref="U251:W251">
    <cfRule type="expression" dxfId="3924" priority="4171">
      <formula>U251&gt;F251</formula>
    </cfRule>
  </conditionalFormatting>
  <conditionalFormatting sqref="AZ246 X246:Y246 L246 H246:J246">
    <cfRule type="expression" dxfId="3923" priority="4152">
      <formula>$AC20=2</formula>
    </cfRule>
  </conditionalFormatting>
  <conditionalFormatting sqref="G248">
    <cfRule type="expression" dxfId="3922" priority="4113">
      <formula>G248&gt;F248</formula>
    </cfRule>
  </conditionalFormatting>
  <conditionalFormatting sqref="N248:P248">
    <cfRule type="expression" dxfId="3921" priority="4107">
      <formula>N248&gt;F248</formula>
    </cfRule>
  </conditionalFormatting>
  <conditionalFormatting sqref="U248:W248">
    <cfRule type="expression" dxfId="3920" priority="4106">
      <formula>U248&gt;F248</formula>
    </cfRule>
  </conditionalFormatting>
  <conditionalFormatting sqref="G252">
    <cfRule type="expression" dxfId="3919" priority="4087">
      <formula>G252&gt;F252</formula>
    </cfRule>
  </conditionalFormatting>
  <conditionalFormatting sqref="N252:P252">
    <cfRule type="expression" dxfId="3918" priority="4081">
      <formula>N252&gt;F252</formula>
    </cfRule>
  </conditionalFormatting>
  <conditionalFormatting sqref="U252:W252">
    <cfRule type="expression" dxfId="3917" priority="4080">
      <formula>U252&gt;F252</formula>
    </cfRule>
  </conditionalFormatting>
  <conditionalFormatting sqref="H259:L259">
    <cfRule type="expression" dxfId="3916" priority="4061">
      <formula>$AC148=2</formula>
    </cfRule>
  </conditionalFormatting>
  <conditionalFormatting sqref="H254:L254 X254:Y254">
    <cfRule type="expression" dxfId="3915" priority="4026">
      <formula>$AC118=2</formula>
    </cfRule>
  </conditionalFormatting>
  <conditionalFormatting sqref="G257">
    <cfRule type="expression" dxfId="3914" priority="3996">
      <formula>G257&gt;F257</formula>
    </cfRule>
  </conditionalFormatting>
  <conditionalFormatting sqref="N257:P257">
    <cfRule type="expression" dxfId="3913" priority="3995">
      <formula>N257&gt;F257</formula>
    </cfRule>
  </conditionalFormatting>
  <conditionalFormatting sqref="U257:W257">
    <cfRule type="expression" dxfId="3912" priority="3994">
      <formula>U257&gt;F257</formula>
    </cfRule>
  </conditionalFormatting>
  <conditionalFormatting sqref="G258">
    <cfRule type="expression" dxfId="3911" priority="3974">
      <formula>G258&gt;F258</formula>
    </cfRule>
  </conditionalFormatting>
  <conditionalFormatting sqref="N258:P258">
    <cfRule type="expression" dxfId="3910" priority="3973">
      <formula>N258&gt;F258</formula>
    </cfRule>
  </conditionalFormatting>
  <conditionalFormatting sqref="U258:W258">
    <cfRule type="expression" dxfId="3909" priority="3972">
      <formula>U258&gt;F258</formula>
    </cfRule>
  </conditionalFormatting>
  <conditionalFormatting sqref="O59:O60">
    <cfRule type="expression" dxfId="3908" priority="2339">
      <formula>$AC59=2</formula>
    </cfRule>
  </conditionalFormatting>
  <conditionalFormatting sqref="U52:U54">
    <cfRule type="expression" dxfId="3907" priority="2395">
      <formula>$AC52=2</formula>
    </cfRule>
  </conditionalFormatting>
  <conditionalFormatting sqref="K221">
    <cfRule type="expression" dxfId="3906" priority="3909">
      <formula>$AD221=4</formula>
    </cfRule>
    <cfRule type="expression" dxfId="3905" priority="3910">
      <formula>$AD221=3</formula>
    </cfRule>
    <cfRule type="expression" dxfId="3904" priority="3911">
      <formula>$AD221=2</formula>
    </cfRule>
    <cfRule type="expression" dxfId="3903" priority="3912">
      <formula>$AD221=1</formula>
    </cfRule>
  </conditionalFormatting>
  <conditionalFormatting sqref="K221">
    <cfRule type="expression" dxfId="3902" priority="3908">
      <formula>$AC221=2</formula>
    </cfRule>
  </conditionalFormatting>
  <conditionalFormatting sqref="K222">
    <cfRule type="expression" dxfId="3901" priority="3904">
      <formula>$AD222=4</formula>
    </cfRule>
    <cfRule type="expression" dxfId="3900" priority="3905">
      <formula>$AD222=3</formula>
    </cfRule>
    <cfRule type="expression" dxfId="3899" priority="3906">
      <formula>$AD222=2</formula>
    </cfRule>
    <cfRule type="expression" dxfId="3898" priority="3907">
      <formula>$AD222=1</formula>
    </cfRule>
  </conditionalFormatting>
  <conditionalFormatting sqref="K222">
    <cfRule type="expression" dxfId="3897" priority="3903">
      <formula>$AC222=2</formula>
    </cfRule>
  </conditionalFormatting>
  <conditionalFormatting sqref="K223">
    <cfRule type="expression" dxfId="3896" priority="3899">
      <formula>$AD223=4</formula>
    </cfRule>
    <cfRule type="expression" dxfId="3895" priority="3900">
      <formula>$AD223=3</formula>
    </cfRule>
    <cfRule type="expression" dxfId="3894" priority="3901">
      <formula>$AD223=2</formula>
    </cfRule>
    <cfRule type="expression" dxfId="3893" priority="3902">
      <formula>$AD223=1</formula>
    </cfRule>
  </conditionalFormatting>
  <conditionalFormatting sqref="K223">
    <cfRule type="expression" dxfId="3892" priority="3898">
      <formula>$AC223=2</formula>
    </cfRule>
  </conditionalFormatting>
  <conditionalFormatting sqref="K224">
    <cfRule type="expression" dxfId="3891" priority="3894">
      <formula>$AD224=4</formula>
    </cfRule>
    <cfRule type="expression" dxfId="3890" priority="3895">
      <formula>$AD224=3</formula>
    </cfRule>
    <cfRule type="expression" dxfId="3889" priority="3896">
      <formula>$AD224=2</formula>
    </cfRule>
    <cfRule type="expression" dxfId="3888" priority="3897">
      <formula>$AD224=1</formula>
    </cfRule>
  </conditionalFormatting>
  <conditionalFormatting sqref="K224">
    <cfRule type="expression" dxfId="3887" priority="3893">
      <formula>$AC224=2</formula>
    </cfRule>
  </conditionalFormatting>
  <conditionalFormatting sqref="L59:L60">
    <cfRule type="expression" dxfId="3886" priority="2342">
      <formula>$AC59=2</formula>
    </cfRule>
  </conditionalFormatting>
  <conditionalFormatting sqref="L12:L13">
    <cfRule type="expression" dxfId="3885" priority="3713">
      <formula>$AC12=2</formula>
    </cfRule>
  </conditionalFormatting>
  <conditionalFormatting sqref="Z221">
    <cfRule type="expression" dxfId="3884" priority="3885">
      <formula>$AC221=2</formula>
    </cfRule>
  </conditionalFormatting>
  <conditionalFormatting sqref="Z222">
    <cfRule type="expression" dxfId="3883" priority="3884">
      <formula>$AC222=2</formula>
    </cfRule>
  </conditionalFormatting>
  <conditionalFormatting sqref="Z223">
    <cfRule type="expression" dxfId="3882" priority="3883">
      <formula>$AC223=2</formula>
    </cfRule>
  </conditionalFormatting>
  <conditionalFormatting sqref="Z224">
    <cfRule type="expression" dxfId="3881" priority="3882">
      <formula>$AC224=2</formula>
    </cfRule>
  </conditionalFormatting>
  <conditionalFormatting sqref="H236:L236 Q236:S236 X236:Z236 AZ236">
    <cfRule type="expression" dxfId="3880" priority="3880">
      <formula>$AC46=2</formula>
    </cfRule>
  </conditionalFormatting>
  <conditionalFormatting sqref="Z246">
    <cfRule type="expression" dxfId="3879" priority="3878">
      <formula>$AC20=2</formula>
    </cfRule>
  </conditionalFormatting>
  <conditionalFormatting sqref="Z259">
    <cfRule type="expression" dxfId="3878" priority="3875">
      <formula>$AC148=2</formula>
    </cfRule>
  </conditionalFormatting>
  <conditionalFormatting sqref="Z254">
    <cfRule type="expression" dxfId="3877" priority="3874">
      <formula>$AC118=2</formula>
    </cfRule>
  </conditionalFormatting>
  <conditionalFormatting sqref="L11">
    <cfRule type="expression" dxfId="3876" priority="3799">
      <formula>$AC11=2</formula>
    </cfRule>
  </conditionalFormatting>
  <conditionalFormatting sqref="S11">
    <cfRule type="expression" dxfId="3875" priority="3797">
      <formula>$AC11=2</formula>
    </cfRule>
  </conditionalFormatting>
  <conditionalFormatting sqref="X122:Y122">
    <cfRule type="expression" dxfId="3874" priority="2866">
      <formula>$AC122=2</formula>
    </cfRule>
  </conditionalFormatting>
  <conditionalFormatting sqref="H247:J247 L247">
    <cfRule type="expression" dxfId="3873" priority="3770">
      <formula>$AC27=2</formula>
    </cfRule>
  </conditionalFormatting>
  <conditionalFormatting sqref="X247:Y247">
    <cfRule type="expression" dxfId="3872" priority="3744">
      <formula>$AC27=2</formula>
    </cfRule>
  </conditionalFormatting>
  <conditionalFormatting sqref="S247">
    <cfRule type="expression" dxfId="3871" priority="3730">
      <formula>$AC27=2</formula>
    </cfRule>
  </conditionalFormatting>
  <conditionalFormatting sqref="Z247">
    <cfRule type="expression" dxfId="3870" priority="3729">
      <formula>$AC27=2</formula>
    </cfRule>
  </conditionalFormatting>
  <conditionalFormatting sqref="G12:G16">
    <cfRule type="expression" dxfId="3869" priority="3703">
      <formula>G12&gt;F12</formula>
    </cfRule>
  </conditionalFormatting>
  <conditionalFormatting sqref="G18:G19 G21:G24 G28:G30 G32:G34">
    <cfRule type="expression" dxfId="3868" priority="3701">
      <formula>G18&gt;F18</formula>
    </cfRule>
  </conditionalFormatting>
  <conditionalFormatting sqref="J12:K24">
    <cfRule type="expression" dxfId="3867" priority="3715">
      <formula>$AD12=4</formula>
    </cfRule>
    <cfRule type="expression" dxfId="3866" priority="3716">
      <formula>$AD12=3</formula>
    </cfRule>
    <cfRule type="expression" dxfId="3865" priority="3717">
      <formula>$AD12=2</formula>
    </cfRule>
    <cfRule type="expression" dxfId="3864" priority="3718">
      <formula>$AD12=1</formula>
    </cfRule>
  </conditionalFormatting>
  <conditionalFormatting sqref="J12:K24">
    <cfRule type="expression" dxfId="3863" priority="3714">
      <formula>$AC12=2</formula>
    </cfRule>
  </conditionalFormatting>
  <conditionalFormatting sqref="J34:K34">
    <cfRule type="expression" dxfId="3862" priority="3709">
      <formula>$AD34=4</formula>
    </cfRule>
    <cfRule type="expression" dxfId="3861" priority="3710">
      <formula>$AD34=3</formula>
    </cfRule>
    <cfRule type="expression" dxfId="3860" priority="3711">
      <formula>$AD34=2</formula>
    </cfRule>
    <cfRule type="expression" dxfId="3859" priority="3712">
      <formula>$AD34=1</formula>
    </cfRule>
  </conditionalFormatting>
  <conditionalFormatting sqref="J34:K34">
    <cfRule type="expression" dxfId="3858" priority="3708">
      <formula>$AC34=2</formula>
    </cfRule>
  </conditionalFormatting>
  <conditionalFormatting sqref="L34">
    <cfRule type="expression" dxfId="3857" priority="3707">
      <formula>$AC34=2</formula>
    </cfRule>
  </conditionalFormatting>
  <conditionalFormatting sqref="G12:G16">
    <cfRule type="expression" dxfId="3856" priority="3704">
      <formula>$AC12=2</formula>
    </cfRule>
  </conditionalFormatting>
  <conditionalFormatting sqref="G18:G19">
    <cfRule type="expression" dxfId="3855" priority="3702">
      <formula>$AC18=2</formula>
    </cfRule>
  </conditionalFormatting>
  <conditionalFormatting sqref="Q16:R16">
    <cfRule type="expression" dxfId="3854" priority="3697">
      <formula>$AE16=4</formula>
    </cfRule>
    <cfRule type="expression" dxfId="3853" priority="3698">
      <formula>$AE16=3</formula>
    </cfRule>
    <cfRule type="expression" dxfId="3852" priority="3699">
      <formula>$AE16=2</formula>
    </cfRule>
    <cfRule type="expression" dxfId="3851" priority="3700">
      <formula>$AE16=1</formula>
    </cfRule>
  </conditionalFormatting>
  <conditionalFormatting sqref="X16:Y16">
    <cfRule type="expression" dxfId="3850" priority="3693">
      <formula>$AF16=4</formula>
    </cfRule>
    <cfRule type="expression" dxfId="3849" priority="3694">
      <formula>$AF16=3</formula>
    </cfRule>
    <cfRule type="expression" dxfId="3848" priority="3695">
      <formula>$AF16=2</formula>
    </cfRule>
    <cfRule type="expression" dxfId="3847" priority="3696">
      <formula>$AF16=1</formula>
    </cfRule>
  </conditionalFormatting>
  <conditionalFormatting sqref="N16">
    <cfRule type="expression" dxfId="3846" priority="3692">
      <formula>$AC16=2</formula>
    </cfRule>
  </conditionalFormatting>
  <conditionalFormatting sqref="N16">
    <cfRule type="expression" dxfId="3845" priority="3691">
      <formula>N16&gt;F16</formula>
    </cfRule>
  </conditionalFormatting>
  <conditionalFormatting sqref="Q15:R15">
    <cfRule type="expression" dxfId="3844" priority="3681">
      <formula>$AE15=4</formula>
    </cfRule>
    <cfRule type="expression" dxfId="3843" priority="3682">
      <formula>$AE15=3</formula>
    </cfRule>
    <cfRule type="expression" dxfId="3842" priority="3683">
      <formula>$AE15=2</formula>
    </cfRule>
    <cfRule type="expression" dxfId="3841" priority="3684">
      <formula>$AE15=1</formula>
    </cfRule>
  </conditionalFormatting>
  <conditionalFormatting sqref="N15">
    <cfRule type="expression" dxfId="3840" priority="3676">
      <formula>$AC15=2</formula>
    </cfRule>
  </conditionalFormatting>
  <conditionalFormatting sqref="N15">
    <cfRule type="expression" dxfId="3839" priority="3675">
      <formula>N15&gt;F15</formula>
    </cfRule>
  </conditionalFormatting>
  <conditionalFormatting sqref="Q14:R14">
    <cfRule type="expression" dxfId="3838" priority="3665">
      <formula>$AE14=4</formula>
    </cfRule>
    <cfRule type="expression" dxfId="3837" priority="3666">
      <formula>$AE14=3</formula>
    </cfRule>
    <cfRule type="expression" dxfId="3836" priority="3667">
      <formula>$AE14=2</formula>
    </cfRule>
    <cfRule type="expression" dxfId="3835" priority="3668">
      <formula>$AE14=1</formula>
    </cfRule>
  </conditionalFormatting>
  <conditionalFormatting sqref="X14:Y14">
    <cfRule type="expression" dxfId="3834" priority="3661">
      <formula>$AF14=4</formula>
    </cfRule>
    <cfRule type="expression" dxfId="3833" priority="3662">
      <formula>$AF14=3</formula>
    </cfRule>
    <cfRule type="expression" dxfId="3832" priority="3663">
      <formula>$AF14=2</formula>
    </cfRule>
    <cfRule type="expression" dxfId="3831" priority="3664">
      <formula>$AF14=1</formula>
    </cfRule>
  </conditionalFormatting>
  <conditionalFormatting sqref="N14">
    <cfRule type="expression" dxfId="3830" priority="3660">
      <formula>$AC14=2</formula>
    </cfRule>
  </conditionalFormatting>
  <conditionalFormatting sqref="N14">
    <cfRule type="expression" dxfId="3829" priority="3659">
      <formula>N14&gt;F14</formula>
    </cfRule>
  </conditionalFormatting>
  <conditionalFormatting sqref="Q13:R13">
    <cfRule type="expression" dxfId="3828" priority="3649">
      <formula>$AE13=4</formula>
    </cfRule>
    <cfRule type="expression" dxfId="3827" priority="3650">
      <formula>$AE13=3</formula>
    </cfRule>
    <cfRule type="expression" dxfId="3826" priority="3651">
      <formula>$AE13=2</formula>
    </cfRule>
    <cfRule type="expression" dxfId="3825" priority="3652">
      <formula>$AE13=1</formula>
    </cfRule>
  </conditionalFormatting>
  <conditionalFormatting sqref="X13:Y13">
    <cfRule type="expression" dxfId="3824" priority="3645">
      <formula>$AF13=4</formula>
    </cfRule>
    <cfRule type="expression" dxfId="3823" priority="3646">
      <formula>$AF13=3</formula>
    </cfRule>
    <cfRule type="expression" dxfId="3822" priority="3647">
      <formula>$AF13=2</formula>
    </cfRule>
    <cfRule type="expression" dxfId="3821" priority="3648">
      <formula>$AF13=1</formula>
    </cfRule>
  </conditionalFormatting>
  <conditionalFormatting sqref="N13">
    <cfRule type="expression" dxfId="3820" priority="3644">
      <formula>$AC13=2</formula>
    </cfRule>
  </conditionalFormatting>
  <conditionalFormatting sqref="N13">
    <cfRule type="expression" dxfId="3819" priority="3643">
      <formula>N13&gt;F13</formula>
    </cfRule>
  </conditionalFormatting>
  <conditionalFormatting sqref="Q12:R12">
    <cfRule type="expression" dxfId="3818" priority="3633">
      <formula>$AE12=4</formula>
    </cfRule>
    <cfRule type="expression" dxfId="3817" priority="3634">
      <formula>$AE12=3</formula>
    </cfRule>
    <cfRule type="expression" dxfId="3816" priority="3635">
      <formula>$AE12=2</formula>
    </cfRule>
    <cfRule type="expression" dxfId="3815" priority="3636">
      <formula>$AE12=1</formula>
    </cfRule>
  </conditionalFormatting>
  <conditionalFormatting sqref="X12:Y12">
    <cfRule type="expression" dxfId="3814" priority="3629">
      <formula>$AF12=4</formula>
    </cfRule>
    <cfRule type="expression" dxfId="3813" priority="3630">
      <formula>$AF12=3</formula>
    </cfRule>
    <cfRule type="expression" dxfId="3812" priority="3631">
      <formula>$AF12=2</formula>
    </cfRule>
    <cfRule type="expression" dxfId="3811" priority="3632">
      <formula>$AF12=1</formula>
    </cfRule>
  </conditionalFormatting>
  <conditionalFormatting sqref="N12">
    <cfRule type="expression" dxfId="3810" priority="3628">
      <formula>$AC12=2</formula>
    </cfRule>
  </conditionalFormatting>
  <conditionalFormatting sqref="N12">
    <cfRule type="expression" dxfId="3809" priority="3627">
      <formula>N12&gt;F12</formula>
    </cfRule>
  </conditionalFormatting>
  <conditionalFormatting sqref="Q21:R21">
    <cfRule type="expression" dxfId="3808" priority="3617">
      <formula>$AE21=4</formula>
    </cfRule>
    <cfRule type="expression" dxfId="3807" priority="3618">
      <formula>$AE21=3</formula>
    </cfRule>
    <cfRule type="expression" dxfId="3806" priority="3619">
      <formula>$AE21=2</formula>
    </cfRule>
    <cfRule type="expression" dxfId="3805" priority="3620">
      <formula>$AE21=1</formula>
    </cfRule>
  </conditionalFormatting>
  <conditionalFormatting sqref="X21:Y21">
    <cfRule type="expression" dxfId="3804" priority="3613">
      <formula>$AF21=4</formula>
    </cfRule>
    <cfRule type="expression" dxfId="3803" priority="3614">
      <formula>$AF21=3</formula>
    </cfRule>
    <cfRule type="expression" dxfId="3802" priority="3615">
      <formula>$AF21=2</formula>
    </cfRule>
    <cfRule type="expression" dxfId="3801" priority="3616">
      <formula>$AF21=1</formula>
    </cfRule>
  </conditionalFormatting>
  <conditionalFormatting sqref="N21">
    <cfRule type="expression" dxfId="3800" priority="3612">
      <formula>$AC21=2</formula>
    </cfRule>
  </conditionalFormatting>
  <conditionalFormatting sqref="N21">
    <cfRule type="expression" dxfId="3799" priority="3611">
      <formula>N21&gt;F21</formula>
    </cfRule>
  </conditionalFormatting>
  <conditionalFormatting sqref="Q22:R22">
    <cfRule type="expression" dxfId="3798" priority="3601">
      <formula>$AE22=4</formula>
    </cfRule>
    <cfRule type="expression" dxfId="3797" priority="3602">
      <formula>$AE22=3</formula>
    </cfRule>
    <cfRule type="expression" dxfId="3796" priority="3603">
      <formula>$AE22=2</formula>
    </cfRule>
    <cfRule type="expression" dxfId="3795" priority="3604">
      <formula>$AE22=1</formula>
    </cfRule>
  </conditionalFormatting>
  <conditionalFormatting sqref="X22:Y22">
    <cfRule type="expression" dxfId="3794" priority="3597">
      <formula>$AF22=4</formula>
    </cfRule>
    <cfRule type="expression" dxfId="3793" priority="3598">
      <formula>$AF22=3</formula>
    </cfRule>
    <cfRule type="expression" dxfId="3792" priority="3599">
      <formula>$AF22=2</formula>
    </cfRule>
    <cfRule type="expression" dxfId="3791" priority="3600">
      <formula>$AF22=1</formula>
    </cfRule>
  </conditionalFormatting>
  <conditionalFormatting sqref="N22">
    <cfRule type="expression" dxfId="3790" priority="3596">
      <formula>$AC22=2</formula>
    </cfRule>
  </conditionalFormatting>
  <conditionalFormatting sqref="N22">
    <cfRule type="expression" dxfId="3789" priority="3595">
      <formula>N22&gt;F22</formula>
    </cfRule>
  </conditionalFormatting>
  <conditionalFormatting sqref="Q23:R23">
    <cfRule type="expression" dxfId="3788" priority="3585">
      <formula>$AE23=4</formula>
    </cfRule>
    <cfRule type="expression" dxfId="3787" priority="3586">
      <formula>$AE23=3</formula>
    </cfRule>
    <cfRule type="expression" dxfId="3786" priority="3587">
      <formula>$AE23=2</formula>
    </cfRule>
    <cfRule type="expression" dxfId="3785" priority="3588">
      <formula>$AE23=1</formula>
    </cfRule>
  </conditionalFormatting>
  <conditionalFormatting sqref="X23:Y23">
    <cfRule type="expression" dxfId="3784" priority="3581">
      <formula>$AF23=4</formula>
    </cfRule>
    <cfRule type="expression" dxfId="3783" priority="3582">
      <formula>$AF23=3</formula>
    </cfRule>
    <cfRule type="expression" dxfId="3782" priority="3583">
      <formula>$AF23=2</formula>
    </cfRule>
    <cfRule type="expression" dxfId="3781" priority="3584">
      <formula>$AF23=1</formula>
    </cfRule>
  </conditionalFormatting>
  <conditionalFormatting sqref="N23">
    <cfRule type="expression" dxfId="3780" priority="3580">
      <formula>$AC23=2</formula>
    </cfRule>
  </conditionalFormatting>
  <conditionalFormatting sqref="N23">
    <cfRule type="expression" dxfId="3779" priority="3579">
      <formula>N23&gt;F23</formula>
    </cfRule>
  </conditionalFormatting>
  <conditionalFormatting sqref="Q24:R24">
    <cfRule type="expression" dxfId="3778" priority="3569">
      <formula>$AE24=4</formula>
    </cfRule>
    <cfRule type="expression" dxfId="3777" priority="3570">
      <formula>$AE24=3</formula>
    </cfRule>
    <cfRule type="expression" dxfId="3776" priority="3571">
      <formula>$AE24=2</formula>
    </cfRule>
    <cfRule type="expression" dxfId="3775" priority="3572">
      <formula>$AE24=1</formula>
    </cfRule>
  </conditionalFormatting>
  <conditionalFormatting sqref="X24:Y24">
    <cfRule type="expression" dxfId="3774" priority="3565">
      <formula>$AF24=4</formula>
    </cfRule>
    <cfRule type="expression" dxfId="3773" priority="3566">
      <formula>$AF24=3</formula>
    </cfRule>
    <cfRule type="expression" dxfId="3772" priority="3567">
      <formula>$AF24=2</formula>
    </cfRule>
    <cfRule type="expression" dxfId="3771" priority="3568">
      <formula>$AF24=1</formula>
    </cfRule>
  </conditionalFormatting>
  <conditionalFormatting sqref="N24">
    <cfRule type="expression" dxfId="3770" priority="3564">
      <formula>$AC24=2</formula>
    </cfRule>
  </conditionalFormatting>
  <conditionalFormatting sqref="N24">
    <cfRule type="expression" dxfId="3769" priority="3563">
      <formula>N24&gt;F24</formula>
    </cfRule>
  </conditionalFormatting>
  <conditionalFormatting sqref="Q28:R28">
    <cfRule type="expression" dxfId="3768" priority="3553">
      <formula>$AE28=4</formula>
    </cfRule>
    <cfRule type="expression" dxfId="3767" priority="3554">
      <formula>$AE28=3</formula>
    </cfRule>
    <cfRule type="expression" dxfId="3766" priority="3555">
      <formula>$AE28=2</formula>
    </cfRule>
    <cfRule type="expression" dxfId="3765" priority="3556">
      <formula>$AE28=1</formula>
    </cfRule>
  </conditionalFormatting>
  <conditionalFormatting sqref="X28:Y28">
    <cfRule type="expression" dxfId="3764" priority="3549">
      <formula>$AF28=4</formula>
    </cfRule>
    <cfRule type="expression" dxfId="3763" priority="3550">
      <formula>$AF28=3</formula>
    </cfRule>
    <cfRule type="expression" dxfId="3762" priority="3551">
      <formula>$AF28=2</formula>
    </cfRule>
    <cfRule type="expression" dxfId="3761" priority="3552">
      <formula>$AF28=1</formula>
    </cfRule>
  </conditionalFormatting>
  <conditionalFormatting sqref="N28">
    <cfRule type="expression" dxfId="3760" priority="3548">
      <formula>$AC28=2</formula>
    </cfRule>
  </conditionalFormatting>
  <conditionalFormatting sqref="N28">
    <cfRule type="expression" dxfId="3759" priority="3547">
      <formula>N28&gt;F28</formula>
    </cfRule>
  </conditionalFormatting>
  <conditionalFormatting sqref="Q29:R29">
    <cfRule type="expression" dxfId="3758" priority="3537">
      <formula>$AE29=4</formula>
    </cfRule>
    <cfRule type="expression" dxfId="3757" priority="3538">
      <formula>$AE29=3</formula>
    </cfRule>
    <cfRule type="expression" dxfId="3756" priority="3539">
      <formula>$AE29=2</formula>
    </cfRule>
    <cfRule type="expression" dxfId="3755" priority="3540">
      <formula>$AE29=1</formula>
    </cfRule>
  </conditionalFormatting>
  <conditionalFormatting sqref="X29:Y29">
    <cfRule type="expression" dxfId="3754" priority="3533">
      <formula>$AF29=4</formula>
    </cfRule>
    <cfRule type="expression" dxfId="3753" priority="3534">
      <formula>$AF29=3</formula>
    </cfRule>
    <cfRule type="expression" dxfId="3752" priority="3535">
      <formula>$AF29=2</formula>
    </cfRule>
    <cfRule type="expression" dxfId="3751" priority="3536">
      <formula>$AF29=1</formula>
    </cfRule>
  </conditionalFormatting>
  <conditionalFormatting sqref="N29">
    <cfRule type="expression" dxfId="3750" priority="3532">
      <formula>$AC29=2</formula>
    </cfRule>
  </conditionalFormatting>
  <conditionalFormatting sqref="N29">
    <cfRule type="expression" dxfId="3749" priority="3531">
      <formula>N29&gt;F29</formula>
    </cfRule>
  </conditionalFormatting>
  <conditionalFormatting sqref="Q30:R30">
    <cfRule type="expression" dxfId="3748" priority="3521">
      <formula>$AE30=4</formula>
    </cfRule>
    <cfRule type="expression" dxfId="3747" priority="3522">
      <formula>$AE30=3</formula>
    </cfRule>
    <cfRule type="expression" dxfId="3746" priority="3523">
      <formula>$AE30=2</formula>
    </cfRule>
    <cfRule type="expression" dxfId="3745" priority="3524">
      <formula>$AE30=1</formula>
    </cfRule>
  </conditionalFormatting>
  <conditionalFormatting sqref="X30:Y30">
    <cfRule type="expression" dxfId="3744" priority="3517">
      <formula>$AF30=4</formula>
    </cfRule>
    <cfRule type="expression" dxfId="3743" priority="3518">
      <formula>$AF30=3</formula>
    </cfRule>
    <cfRule type="expression" dxfId="3742" priority="3519">
      <formula>$AF30=2</formula>
    </cfRule>
    <cfRule type="expression" dxfId="3741" priority="3520">
      <formula>$AF30=1</formula>
    </cfRule>
  </conditionalFormatting>
  <conditionalFormatting sqref="N30">
    <cfRule type="expression" dxfId="3740" priority="3516">
      <formula>$AC30=2</formula>
    </cfRule>
  </conditionalFormatting>
  <conditionalFormatting sqref="N30">
    <cfRule type="expression" dxfId="3739" priority="3515">
      <formula>N30&gt;F30</formula>
    </cfRule>
  </conditionalFormatting>
  <conditionalFormatting sqref="Q32:R32">
    <cfRule type="expression" dxfId="3738" priority="3505">
      <formula>$AE32=4</formula>
    </cfRule>
    <cfRule type="expression" dxfId="3737" priority="3506">
      <formula>$AE32=3</formula>
    </cfRule>
    <cfRule type="expression" dxfId="3736" priority="3507">
      <formula>$AE32=2</formula>
    </cfRule>
    <cfRule type="expression" dxfId="3735" priority="3508">
      <formula>$AE32=1</formula>
    </cfRule>
  </conditionalFormatting>
  <conditionalFormatting sqref="X32:Y32">
    <cfRule type="expression" dxfId="3734" priority="3501">
      <formula>$AF32=4</formula>
    </cfRule>
    <cfRule type="expression" dxfId="3733" priority="3502">
      <formula>$AF32=3</formula>
    </cfRule>
    <cfRule type="expression" dxfId="3732" priority="3503">
      <formula>$AF32=2</formula>
    </cfRule>
    <cfRule type="expression" dxfId="3731" priority="3504">
      <formula>$AF32=1</formula>
    </cfRule>
  </conditionalFormatting>
  <conditionalFormatting sqref="N32">
    <cfRule type="expression" dxfId="3730" priority="3500">
      <formula>$AC32=2</formula>
    </cfRule>
  </conditionalFormatting>
  <conditionalFormatting sqref="N32">
    <cfRule type="expression" dxfId="3729" priority="3499">
      <formula>N32&gt;F32</formula>
    </cfRule>
  </conditionalFormatting>
  <conditionalFormatting sqref="Q33:R33">
    <cfRule type="expression" dxfId="3728" priority="3489">
      <formula>$AE33=4</formula>
    </cfRule>
    <cfRule type="expression" dxfId="3727" priority="3490">
      <formula>$AE33=3</formula>
    </cfRule>
    <cfRule type="expression" dxfId="3726" priority="3491">
      <formula>$AE33=2</formula>
    </cfRule>
    <cfRule type="expression" dxfId="3725" priority="3492">
      <formula>$AE33=1</formula>
    </cfRule>
  </conditionalFormatting>
  <conditionalFormatting sqref="X33:Y33">
    <cfRule type="expression" dxfId="3724" priority="3485">
      <formula>$AF33=4</formula>
    </cfRule>
    <cfRule type="expression" dxfId="3723" priority="3486">
      <formula>$AF33=3</formula>
    </cfRule>
    <cfRule type="expression" dxfId="3722" priority="3487">
      <formula>$AF33=2</formula>
    </cfRule>
    <cfRule type="expression" dxfId="3721" priority="3488">
      <formula>$AF33=1</formula>
    </cfRule>
  </conditionalFormatting>
  <conditionalFormatting sqref="N33">
    <cfRule type="expression" dxfId="3720" priority="3484">
      <formula>$AC33=2</formula>
    </cfRule>
  </conditionalFormatting>
  <conditionalFormatting sqref="N33">
    <cfRule type="expression" dxfId="3719" priority="3483">
      <formula>N33&gt;F33</formula>
    </cfRule>
  </conditionalFormatting>
  <conditionalFormatting sqref="Q34:R34">
    <cfRule type="expression" dxfId="3718" priority="3473">
      <formula>$AE34=4</formula>
    </cfRule>
    <cfRule type="expression" dxfId="3717" priority="3474">
      <formula>$AE34=3</formula>
    </cfRule>
    <cfRule type="expression" dxfId="3716" priority="3475">
      <formula>$AE34=2</formula>
    </cfRule>
    <cfRule type="expression" dxfId="3715" priority="3476">
      <formula>$AE34=1</formula>
    </cfRule>
  </conditionalFormatting>
  <conditionalFormatting sqref="X34:Y34">
    <cfRule type="expression" dxfId="3714" priority="3469">
      <formula>$AF34=4</formula>
    </cfRule>
    <cfRule type="expression" dxfId="3713" priority="3470">
      <formula>$AF34=3</formula>
    </cfRule>
    <cfRule type="expression" dxfId="3712" priority="3471">
      <formula>$AF34=2</formula>
    </cfRule>
    <cfRule type="expression" dxfId="3711" priority="3472">
      <formula>$AF34=1</formula>
    </cfRule>
  </conditionalFormatting>
  <conditionalFormatting sqref="N34">
    <cfRule type="expression" dxfId="3710" priority="3468">
      <formula>$AC34=2</formula>
    </cfRule>
  </conditionalFormatting>
  <conditionalFormatting sqref="N34">
    <cfRule type="expression" dxfId="3709" priority="3467">
      <formula>N34&gt;F34</formula>
    </cfRule>
  </conditionalFormatting>
  <conditionalFormatting sqref="O11:O24">
    <cfRule type="expression" dxfId="3708" priority="3408">
      <formula>$AC11=2</formula>
    </cfRule>
  </conditionalFormatting>
  <conditionalFormatting sqref="V11">
    <cfRule type="expression" dxfId="3707" priority="3407">
      <formula>$AC11=2</formula>
    </cfRule>
  </conditionalFormatting>
  <conditionalFormatting sqref="V12:V14">
    <cfRule type="expression" dxfId="3706" priority="3406">
      <formula>$AC12=2</formula>
    </cfRule>
  </conditionalFormatting>
  <conditionalFormatting sqref="V16">
    <cfRule type="expression" dxfId="3705" priority="3405">
      <formula>$AC16=2</formula>
    </cfRule>
  </conditionalFormatting>
  <conditionalFormatting sqref="V18:V19">
    <cfRule type="expression" dxfId="3704" priority="3404">
      <formula>$AC18=2</formula>
    </cfRule>
  </conditionalFormatting>
  <conditionalFormatting sqref="V21:V24">
    <cfRule type="expression" dxfId="3703" priority="3403">
      <formula>$AC21=2</formula>
    </cfRule>
  </conditionalFormatting>
  <conditionalFormatting sqref="V28:V30">
    <cfRule type="expression" dxfId="3702" priority="3402">
      <formula>$AC28=2</formula>
    </cfRule>
  </conditionalFormatting>
  <conditionalFormatting sqref="V32:V34">
    <cfRule type="expression" dxfId="3701" priority="3401">
      <formula>$AC32=2</formula>
    </cfRule>
  </conditionalFormatting>
  <conditionalFormatting sqref="U12:U14">
    <cfRule type="expression" dxfId="3700" priority="3396">
      <formula>$AC12=2</formula>
    </cfRule>
  </conditionalFormatting>
  <conditionalFormatting sqref="U12:U14">
    <cfRule type="expression" dxfId="3699" priority="3395">
      <formula>U12&gt;F12</formula>
    </cfRule>
  </conditionalFormatting>
  <conditionalFormatting sqref="U16">
    <cfRule type="expression" dxfId="3698" priority="3392">
      <formula>$AC16=2</formula>
    </cfRule>
  </conditionalFormatting>
  <conditionalFormatting sqref="U16">
    <cfRule type="expression" dxfId="3697" priority="3391">
      <formula>U16&gt;F16</formula>
    </cfRule>
  </conditionalFormatting>
  <conditionalFormatting sqref="U18:U19">
    <cfRule type="expression" dxfId="3696" priority="3388">
      <formula>$AC18=2</formula>
    </cfRule>
  </conditionalFormatting>
  <conditionalFormatting sqref="U18:U19">
    <cfRule type="expression" dxfId="3695" priority="3387">
      <formula>U18&gt;F18</formula>
    </cfRule>
  </conditionalFormatting>
  <conditionalFormatting sqref="U21:U24">
    <cfRule type="expression" dxfId="3694" priority="3384">
      <formula>$AC21=2</formula>
    </cfRule>
  </conditionalFormatting>
  <conditionalFormatting sqref="U21:U24">
    <cfRule type="expression" dxfId="3693" priority="3383">
      <formula>U21&gt;F21</formula>
    </cfRule>
  </conditionalFormatting>
  <conditionalFormatting sqref="U28:U30">
    <cfRule type="expression" dxfId="3692" priority="3380">
      <formula>$AC28=2</formula>
    </cfRule>
  </conditionalFormatting>
  <conditionalFormatting sqref="U28:U30">
    <cfRule type="expression" dxfId="3691" priority="3379">
      <formula>U28&gt;F28</formula>
    </cfRule>
  </conditionalFormatting>
  <conditionalFormatting sqref="U32:U34">
    <cfRule type="expression" dxfId="3690" priority="3376">
      <formula>$AC32=2</formula>
    </cfRule>
  </conditionalFormatting>
  <conditionalFormatting sqref="U32:U34">
    <cfRule type="expression" dxfId="3689" priority="3375">
      <formula>U32&gt;F32</formula>
    </cfRule>
  </conditionalFormatting>
  <conditionalFormatting sqref="J38:K40">
    <cfRule type="expression" dxfId="3688" priority="3369">
      <formula>$AD38=4</formula>
    </cfRule>
    <cfRule type="expression" dxfId="3687" priority="3370">
      <formula>$AD38=3</formula>
    </cfRule>
    <cfRule type="expression" dxfId="3686" priority="3371">
      <formula>$AD38=2</formula>
    </cfRule>
    <cfRule type="expression" dxfId="3685" priority="3372">
      <formula>$AD38=1</formula>
    </cfRule>
  </conditionalFormatting>
  <conditionalFormatting sqref="Q38:R40">
    <cfRule type="expression" dxfId="3684" priority="3365">
      <formula>$AE38=4</formula>
    </cfRule>
    <cfRule type="expression" dxfId="3683" priority="3366">
      <formula>$AE38=3</formula>
    </cfRule>
    <cfRule type="expression" dxfId="3682" priority="3367">
      <formula>$AE38=2</formula>
    </cfRule>
    <cfRule type="expression" dxfId="3681" priority="3368">
      <formula>$AE38=1</formula>
    </cfRule>
  </conditionalFormatting>
  <conditionalFormatting sqref="X38:Y40">
    <cfRule type="expression" dxfId="3680" priority="3361">
      <formula>$AF38=4</formula>
    </cfRule>
    <cfRule type="expression" dxfId="3679" priority="3362">
      <formula>$AF38=3</formula>
    </cfRule>
    <cfRule type="expression" dxfId="3678" priority="3363">
      <formula>$AF38=2</formula>
    </cfRule>
    <cfRule type="expression" dxfId="3677" priority="3364">
      <formula>$AF38=1</formula>
    </cfRule>
  </conditionalFormatting>
  <conditionalFormatting sqref="H38:K38 J39:K40">
    <cfRule type="expression" dxfId="3676" priority="3360">
      <formula>$AC38=2</formula>
    </cfRule>
  </conditionalFormatting>
  <conditionalFormatting sqref="L38:L40">
    <cfRule type="expression" dxfId="3675" priority="3355">
      <formula>$AC38=2</formula>
    </cfRule>
  </conditionalFormatting>
  <conditionalFormatting sqref="O38">
    <cfRule type="expression" dxfId="3674" priority="3353">
      <formula>$AC38=2</formula>
    </cfRule>
  </conditionalFormatting>
  <conditionalFormatting sqref="V38">
    <cfRule type="expression" dxfId="3673" priority="3352">
      <formula>$AC38=2</formula>
    </cfRule>
  </conditionalFormatting>
  <conditionalFormatting sqref="J66:K66">
    <cfRule type="expression" dxfId="3672" priority="3348">
      <formula>$AD66=4</formula>
    </cfRule>
    <cfRule type="expression" dxfId="3671" priority="3349">
      <formula>$AD66=3</formula>
    </cfRule>
    <cfRule type="expression" dxfId="3670" priority="3350">
      <formula>$AD66=2</formula>
    </cfRule>
    <cfRule type="expression" dxfId="3669" priority="3351">
      <formula>$AD66=1</formula>
    </cfRule>
  </conditionalFormatting>
  <conditionalFormatting sqref="Q66:R66">
    <cfRule type="expression" dxfId="3668" priority="3344">
      <formula>$AE66=4</formula>
    </cfRule>
    <cfRule type="expression" dxfId="3667" priority="3345">
      <formula>$AE66=3</formula>
    </cfRule>
    <cfRule type="expression" dxfId="3666" priority="3346">
      <formula>$AE66=2</formula>
    </cfRule>
    <cfRule type="expression" dxfId="3665" priority="3347">
      <formula>$AE66=1</formula>
    </cfRule>
  </conditionalFormatting>
  <conditionalFormatting sqref="X66:Y66">
    <cfRule type="expression" dxfId="3664" priority="3340">
      <formula>$AF66=4</formula>
    </cfRule>
    <cfRule type="expression" dxfId="3663" priority="3341">
      <formula>$AF66=3</formula>
    </cfRule>
    <cfRule type="expression" dxfId="3662" priority="3342">
      <formula>$AF66=2</formula>
    </cfRule>
    <cfRule type="expression" dxfId="3661" priority="3343">
      <formula>$AF66=1</formula>
    </cfRule>
  </conditionalFormatting>
  <conditionalFormatting sqref="H66:K66">
    <cfRule type="expression" dxfId="3660" priority="3339">
      <formula>$AC66=2</formula>
    </cfRule>
  </conditionalFormatting>
  <conditionalFormatting sqref="L66">
    <cfRule type="expression" dxfId="3659" priority="3334">
      <formula>$AC66=2</formula>
    </cfRule>
  </conditionalFormatting>
  <conditionalFormatting sqref="O66">
    <cfRule type="expression" dxfId="3658" priority="3332">
      <formula>$AC66=2</formula>
    </cfRule>
  </conditionalFormatting>
  <conditionalFormatting sqref="V66">
    <cfRule type="expression" dxfId="3657" priority="3331">
      <formula>$AC66=2</formula>
    </cfRule>
  </conditionalFormatting>
  <conditionalFormatting sqref="J95:K95">
    <cfRule type="expression" dxfId="3656" priority="3327">
      <formula>$AD95=4</formula>
    </cfRule>
    <cfRule type="expression" dxfId="3655" priority="3328">
      <formula>$AD95=3</formula>
    </cfRule>
    <cfRule type="expression" dxfId="3654" priority="3329">
      <formula>$AD95=2</formula>
    </cfRule>
    <cfRule type="expression" dxfId="3653" priority="3330">
      <formula>$AD95=1</formula>
    </cfRule>
  </conditionalFormatting>
  <conditionalFormatting sqref="Q95:R95">
    <cfRule type="expression" dxfId="3652" priority="3323">
      <formula>$AE95=4</formula>
    </cfRule>
    <cfRule type="expression" dxfId="3651" priority="3324">
      <formula>$AE95=3</formula>
    </cfRule>
    <cfRule type="expression" dxfId="3650" priority="3325">
      <formula>$AE95=2</formula>
    </cfRule>
    <cfRule type="expression" dxfId="3649" priority="3326">
      <formula>$AE95=1</formula>
    </cfRule>
  </conditionalFormatting>
  <conditionalFormatting sqref="X95:Y95">
    <cfRule type="expression" dxfId="3648" priority="3319">
      <formula>$AF95=4</formula>
    </cfRule>
    <cfRule type="expression" dxfId="3647" priority="3320">
      <formula>$AF95=3</formula>
    </cfRule>
    <cfRule type="expression" dxfId="3646" priority="3321">
      <formula>$AF95=2</formula>
    </cfRule>
    <cfRule type="expression" dxfId="3645" priority="3322">
      <formula>$AF95=1</formula>
    </cfRule>
  </conditionalFormatting>
  <conditionalFormatting sqref="H95:K95">
    <cfRule type="expression" dxfId="3644" priority="3318">
      <formula>$AC95=2</formula>
    </cfRule>
  </conditionalFormatting>
  <conditionalFormatting sqref="L95">
    <cfRule type="expression" dxfId="3643" priority="3313">
      <formula>$AC95=2</formula>
    </cfRule>
  </conditionalFormatting>
  <conditionalFormatting sqref="O95">
    <cfRule type="expression" dxfId="3642" priority="3311">
      <formula>$AC95=2</formula>
    </cfRule>
  </conditionalFormatting>
  <conditionalFormatting sqref="V95">
    <cfRule type="expression" dxfId="3641" priority="3310">
      <formula>$AC95=2</formula>
    </cfRule>
  </conditionalFormatting>
  <conditionalFormatting sqref="J104:K105">
    <cfRule type="expression" dxfId="3640" priority="3306">
      <formula>$AD104=4</formula>
    </cfRule>
    <cfRule type="expression" dxfId="3639" priority="3307">
      <formula>$AD104=3</formula>
    </cfRule>
    <cfRule type="expression" dxfId="3638" priority="3308">
      <formula>$AD104=2</formula>
    </cfRule>
    <cfRule type="expression" dxfId="3637" priority="3309">
      <formula>$AD104=1</formula>
    </cfRule>
  </conditionalFormatting>
  <conditionalFormatting sqref="Q104:R104">
    <cfRule type="expression" dxfId="3636" priority="3302">
      <formula>$AE104=4</formula>
    </cfRule>
    <cfRule type="expression" dxfId="3635" priority="3303">
      <formula>$AE104=3</formula>
    </cfRule>
    <cfRule type="expression" dxfId="3634" priority="3304">
      <formula>$AE104=2</formula>
    </cfRule>
    <cfRule type="expression" dxfId="3633" priority="3305">
      <formula>$AE104=1</formula>
    </cfRule>
  </conditionalFormatting>
  <conditionalFormatting sqref="X104:Y104">
    <cfRule type="expression" dxfId="3632" priority="3298">
      <formula>$AF104=4</formula>
    </cfRule>
    <cfRule type="expression" dxfId="3631" priority="3299">
      <formula>$AF104=3</formula>
    </cfRule>
    <cfRule type="expression" dxfId="3630" priority="3300">
      <formula>$AF104=2</formula>
    </cfRule>
    <cfRule type="expression" dxfId="3629" priority="3301">
      <formula>$AF104=1</formula>
    </cfRule>
  </conditionalFormatting>
  <conditionalFormatting sqref="H104:K104 J105:K105">
    <cfRule type="expression" dxfId="3628" priority="3297">
      <formula>$AC104=2</formula>
    </cfRule>
  </conditionalFormatting>
  <conditionalFormatting sqref="L104:L105">
    <cfRule type="expression" dxfId="3627" priority="3292">
      <formula>$AC104=2</formula>
    </cfRule>
  </conditionalFormatting>
  <conditionalFormatting sqref="O104">
    <cfRule type="expression" dxfId="3626" priority="3290">
      <formula>$AC104=2</formula>
    </cfRule>
  </conditionalFormatting>
  <conditionalFormatting sqref="V104">
    <cfRule type="expression" dxfId="3625" priority="3289">
      <formula>$AC104=2</formula>
    </cfRule>
  </conditionalFormatting>
  <conditionalFormatting sqref="J118:K118">
    <cfRule type="expression" dxfId="3624" priority="3285">
      <formula>$AD118=4</formula>
    </cfRule>
    <cfRule type="expression" dxfId="3623" priority="3286">
      <formula>$AD118=3</formula>
    </cfRule>
    <cfRule type="expression" dxfId="3622" priority="3287">
      <formula>$AD118=2</formula>
    </cfRule>
    <cfRule type="expression" dxfId="3621" priority="3288">
      <formula>$AD118=1</formula>
    </cfRule>
  </conditionalFormatting>
  <conditionalFormatting sqref="Q118:R118">
    <cfRule type="expression" dxfId="3620" priority="3281">
      <formula>$AE118=4</formula>
    </cfRule>
    <cfRule type="expression" dxfId="3619" priority="3282">
      <formula>$AE118=3</formula>
    </cfRule>
    <cfRule type="expression" dxfId="3618" priority="3283">
      <formula>$AE118=2</formula>
    </cfRule>
    <cfRule type="expression" dxfId="3617" priority="3284">
      <formula>$AE118=1</formula>
    </cfRule>
  </conditionalFormatting>
  <conditionalFormatting sqref="X118:Y118">
    <cfRule type="expression" dxfId="3616" priority="3277">
      <formula>$AF118=4</formula>
    </cfRule>
    <cfRule type="expression" dxfId="3615" priority="3278">
      <formula>$AF118=3</formula>
    </cfRule>
    <cfRule type="expression" dxfId="3614" priority="3279">
      <formula>$AF118=2</formula>
    </cfRule>
    <cfRule type="expression" dxfId="3613" priority="3280">
      <formula>$AF118=1</formula>
    </cfRule>
  </conditionalFormatting>
  <conditionalFormatting sqref="H118:K118">
    <cfRule type="expression" dxfId="3612" priority="3276">
      <formula>$AC118=2</formula>
    </cfRule>
  </conditionalFormatting>
  <conditionalFormatting sqref="L118">
    <cfRule type="expression" dxfId="3611" priority="3271">
      <formula>$AC118=2</formula>
    </cfRule>
  </conditionalFormatting>
  <conditionalFormatting sqref="O118">
    <cfRule type="expression" dxfId="3610" priority="3269">
      <formula>$AC118=2</formula>
    </cfRule>
  </conditionalFormatting>
  <conditionalFormatting sqref="V118">
    <cfRule type="expression" dxfId="3609" priority="3268">
      <formula>$AC118=2</formula>
    </cfRule>
  </conditionalFormatting>
  <conditionalFormatting sqref="J148:K148">
    <cfRule type="expression" dxfId="3608" priority="3264">
      <formula>$AD148=4</formula>
    </cfRule>
    <cfRule type="expression" dxfId="3607" priority="3265">
      <formula>$AD148=3</formula>
    </cfRule>
    <cfRule type="expression" dxfId="3606" priority="3266">
      <formula>$AD148=2</formula>
    </cfRule>
    <cfRule type="expression" dxfId="3605" priority="3267">
      <formula>$AD148=1</formula>
    </cfRule>
  </conditionalFormatting>
  <conditionalFormatting sqref="Q148:R148">
    <cfRule type="expression" dxfId="3604" priority="3260">
      <formula>$AE148=4</formula>
    </cfRule>
    <cfRule type="expression" dxfId="3603" priority="3261">
      <formula>$AE148=3</formula>
    </cfRule>
    <cfRule type="expression" dxfId="3602" priority="3262">
      <formula>$AE148=2</formula>
    </cfRule>
    <cfRule type="expression" dxfId="3601" priority="3263">
      <formula>$AE148=1</formula>
    </cfRule>
  </conditionalFormatting>
  <conditionalFormatting sqref="X148:Y148">
    <cfRule type="expression" dxfId="3600" priority="3256">
      <formula>$AF148=4</formula>
    </cfRule>
    <cfRule type="expression" dxfId="3599" priority="3257">
      <formula>$AF148=3</formula>
    </cfRule>
    <cfRule type="expression" dxfId="3598" priority="3258">
      <formula>$AF148=2</formula>
    </cfRule>
    <cfRule type="expression" dxfId="3597" priority="3259">
      <formula>$AF148=1</formula>
    </cfRule>
  </conditionalFormatting>
  <conditionalFormatting sqref="H148:K148">
    <cfRule type="expression" dxfId="3596" priority="3255">
      <formula>$AC148=2</formula>
    </cfRule>
  </conditionalFormatting>
  <conditionalFormatting sqref="L148">
    <cfRule type="expression" dxfId="3595" priority="3250">
      <formula>$AC148=2</formula>
    </cfRule>
  </conditionalFormatting>
  <conditionalFormatting sqref="O148">
    <cfRule type="expression" dxfId="3594" priority="3248">
      <formula>$AC148=2</formula>
    </cfRule>
  </conditionalFormatting>
  <conditionalFormatting sqref="V148">
    <cfRule type="expression" dxfId="3593" priority="3247">
      <formula>$AC148=2</formula>
    </cfRule>
  </conditionalFormatting>
  <conditionalFormatting sqref="J163:K163">
    <cfRule type="expression" dxfId="3592" priority="3243">
      <formula>$AD163=4</formula>
    </cfRule>
    <cfRule type="expression" dxfId="3591" priority="3244">
      <formula>$AD163=3</formula>
    </cfRule>
    <cfRule type="expression" dxfId="3590" priority="3245">
      <formula>$AD163=2</formula>
    </cfRule>
    <cfRule type="expression" dxfId="3589" priority="3246">
      <formula>$AD163=1</formula>
    </cfRule>
  </conditionalFormatting>
  <conditionalFormatting sqref="Q163:R163">
    <cfRule type="expression" dxfId="3588" priority="3239">
      <formula>$AE163=4</formula>
    </cfRule>
    <cfRule type="expression" dxfId="3587" priority="3240">
      <formula>$AE163=3</formula>
    </cfRule>
    <cfRule type="expression" dxfId="3586" priority="3241">
      <formula>$AE163=2</formula>
    </cfRule>
    <cfRule type="expression" dxfId="3585" priority="3242">
      <formula>$AE163=1</formula>
    </cfRule>
  </conditionalFormatting>
  <conditionalFormatting sqref="X163:Y163">
    <cfRule type="expression" dxfId="3584" priority="3235">
      <formula>$AF163=4</formula>
    </cfRule>
    <cfRule type="expression" dxfId="3583" priority="3236">
      <formula>$AF163=3</formula>
    </cfRule>
    <cfRule type="expression" dxfId="3582" priority="3237">
      <formula>$AF163=2</formula>
    </cfRule>
    <cfRule type="expression" dxfId="3581" priority="3238">
      <formula>$AF163=1</formula>
    </cfRule>
  </conditionalFormatting>
  <conditionalFormatting sqref="H163:K163">
    <cfRule type="expression" dxfId="3580" priority="3234">
      <formula>$AC163=2</formula>
    </cfRule>
  </conditionalFormatting>
  <conditionalFormatting sqref="L163">
    <cfRule type="expression" dxfId="3579" priority="3229">
      <formula>$AC163=2</formula>
    </cfRule>
  </conditionalFormatting>
  <conditionalFormatting sqref="O163">
    <cfRule type="expression" dxfId="3578" priority="3227">
      <formula>$AC163=2</formula>
    </cfRule>
  </conditionalFormatting>
  <conditionalFormatting sqref="V163">
    <cfRule type="expression" dxfId="3577" priority="3226">
      <formula>$AC163=2</formula>
    </cfRule>
  </conditionalFormatting>
  <conditionalFormatting sqref="J195:K195">
    <cfRule type="expression" dxfId="3576" priority="3222">
      <formula>$AD195=4</formula>
    </cfRule>
    <cfRule type="expression" dxfId="3575" priority="3223">
      <formula>$AD195=3</formula>
    </cfRule>
    <cfRule type="expression" dxfId="3574" priority="3224">
      <formula>$AD195=2</formula>
    </cfRule>
    <cfRule type="expression" dxfId="3573" priority="3225">
      <formula>$AD195=1</formula>
    </cfRule>
  </conditionalFormatting>
  <conditionalFormatting sqref="Q195:R195">
    <cfRule type="expression" dxfId="3572" priority="3218">
      <formula>$AE195=4</formula>
    </cfRule>
    <cfRule type="expression" dxfId="3571" priority="3219">
      <formula>$AE195=3</formula>
    </cfRule>
    <cfRule type="expression" dxfId="3570" priority="3220">
      <formula>$AE195=2</formula>
    </cfRule>
    <cfRule type="expression" dxfId="3569" priority="3221">
      <formula>$AE195=1</formula>
    </cfRule>
  </conditionalFormatting>
  <conditionalFormatting sqref="X195:Y195">
    <cfRule type="expression" dxfId="3568" priority="3214">
      <formula>$AF195=4</formula>
    </cfRule>
    <cfRule type="expression" dxfId="3567" priority="3215">
      <formula>$AF195=3</formula>
    </cfRule>
    <cfRule type="expression" dxfId="3566" priority="3216">
      <formula>$AF195=2</formula>
    </cfRule>
    <cfRule type="expression" dxfId="3565" priority="3217">
      <formula>$AF195=1</formula>
    </cfRule>
  </conditionalFormatting>
  <conditionalFormatting sqref="H195:K195">
    <cfRule type="expression" dxfId="3564" priority="3213">
      <formula>$AC195=2</formula>
    </cfRule>
  </conditionalFormatting>
  <conditionalFormatting sqref="L195">
    <cfRule type="expression" dxfId="3563" priority="3208">
      <formula>$AC195=2</formula>
    </cfRule>
  </conditionalFormatting>
  <conditionalFormatting sqref="O195">
    <cfRule type="expression" dxfId="3562" priority="3206">
      <formula>$AC195=2</formula>
    </cfRule>
  </conditionalFormatting>
  <conditionalFormatting sqref="V195">
    <cfRule type="expression" dxfId="3561" priority="3205">
      <formula>$AC195=2</formula>
    </cfRule>
  </conditionalFormatting>
  <conditionalFormatting sqref="Q46:R46">
    <cfRule type="expression" dxfId="3560" priority="3201">
      <formula>$AE46=4</formula>
    </cfRule>
    <cfRule type="expression" dxfId="3559" priority="3202">
      <formula>$AE46=3</formula>
    </cfRule>
    <cfRule type="expression" dxfId="3558" priority="3203">
      <formula>$AE46=2</formula>
    </cfRule>
    <cfRule type="expression" dxfId="3557" priority="3204">
      <formula>$AE46=1</formula>
    </cfRule>
  </conditionalFormatting>
  <conditionalFormatting sqref="X46:Y46">
    <cfRule type="expression" dxfId="3556" priority="3197">
      <formula>$AF46=4</formula>
    </cfRule>
    <cfRule type="expression" dxfId="3555" priority="3198">
      <formula>$AF46=3</formula>
    </cfRule>
    <cfRule type="expression" dxfId="3554" priority="3199">
      <formula>$AF46=2</formula>
    </cfRule>
    <cfRule type="expression" dxfId="3553" priority="3200">
      <formula>$AF46=1</formula>
    </cfRule>
  </conditionalFormatting>
  <conditionalFormatting sqref="X46:Y46">
    <cfRule type="expression" dxfId="3552" priority="3196">
      <formula>$AC46=2</formula>
    </cfRule>
  </conditionalFormatting>
  <conditionalFormatting sqref="J46:K46">
    <cfRule type="expression" dxfId="3551" priority="3187">
      <formula>$AD46=4</formula>
    </cfRule>
    <cfRule type="expression" dxfId="3550" priority="3188">
      <formula>$AD46=3</formula>
    </cfRule>
    <cfRule type="expression" dxfId="3549" priority="3189">
      <formula>$AD46=2</formula>
    </cfRule>
    <cfRule type="expression" dxfId="3548" priority="3190">
      <formula>$AD46=1</formula>
    </cfRule>
  </conditionalFormatting>
  <conditionalFormatting sqref="J46:K46">
    <cfRule type="expression" dxfId="3547" priority="3186">
      <formula>$AC46=2</formula>
    </cfRule>
  </conditionalFormatting>
  <conditionalFormatting sqref="L46">
    <cfRule type="expression" dxfId="3546" priority="3185">
      <formula>$AC46=2</formula>
    </cfRule>
  </conditionalFormatting>
  <conditionalFormatting sqref="O46">
    <cfRule type="expression" dxfId="3545" priority="3184">
      <formula>$AC46=2</formula>
    </cfRule>
  </conditionalFormatting>
  <conditionalFormatting sqref="V46">
    <cfRule type="expression" dxfId="3544" priority="3183">
      <formula>$AC46=2</formula>
    </cfRule>
  </conditionalFormatting>
  <conditionalFormatting sqref="Q51:R51">
    <cfRule type="expression" dxfId="3543" priority="3179">
      <formula>$AE51=4</formula>
    </cfRule>
    <cfRule type="expression" dxfId="3542" priority="3180">
      <formula>$AE51=3</formula>
    </cfRule>
    <cfRule type="expression" dxfId="3541" priority="3181">
      <formula>$AE51=2</formula>
    </cfRule>
    <cfRule type="expression" dxfId="3540" priority="3182">
      <formula>$AE51=1</formula>
    </cfRule>
  </conditionalFormatting>
  <conditionalFormatting sqref="X51:Y51">
    <cfRule type="expression" dxfId="3539" priority="3175">
      <formula>$AF51=4</formula>
    </cfRule>
    <cfRule type="expression" dxfId="3538" priority="3176">
      <formula>$AF51=3</formula>
    </cfRule>
    <cfRule type="expression" dxfId="3537" priority="3177">
      <formula>$AF51=2</formula>
    </cfRule>
    <cfRule type="expression" dxfId="3536" priority="3178">
      <formula>$AF51=1</formula>
    </cfRule>
  </conditionalFormatting>
  <conditionalFormatting sqref="X51:Y51">
    <cfRule type="expression" dxfId="3535" priority="3174">
      <formula>$AC51=2</formula>
    </cfRule>
  </conditionalFormatting>
  <conditionalFormatting sqref="J51:K51">
    <cfRule type="expression" dxfId="3534" priority="3165">
      <formula>$AD51=4</formula>
    </cfRule>
    <cfRule type="expression" dxfId="3533" priority="3166">
      <formula>$AD51=3</formula>
    </cfRule>
    <cfRule type="expression" dxfId="3532" priority="3167">
      <formula>$AD51=2</formula>
    </cfRule>
    <cfRule type="expression" dxfId="3531" priority="3168">
      <formula>$AD51=1</formula>
    </cfRule>
  </conditionalFormatting>
  <conditionalFormatting sqref="J51:K51">
    <cfRule type="expression" dxfId="3530" priority="3164">
      <formula>$AC51=2</formula>
    </cfRule>
  </conditionalFormatting>
  <conditionalFormatting sqref="L51">
    <cfRule type="expression" dxfId="3529" priority="3163">
      <formula>$AC51=2</formula>
    </cfRule>
  </conditionalFormatting>
  <conditionalFormatting sqref="O51">
    <cfRule type="expression" dxfId="3528" priority="3162">
      <formula>$AC51=2</formula>
    </cfRule>
  </conditionalFormatting>
  <conditionalFormatting sqref="V51">
    <cfRule type="expression" dxfId="3527" priority="3161">
      <formula>$AC51=2</formula>
    </cfRule>
  </conditionalFormatting>
  <conditionalFormatting sqref="Q55:R55">
    <cfRule type="expression" dxfId="3526" priority="3157">
      <formula>$AE55=4</formula>
    </cfRule>
    <cfRule type="expression" dxfId="3525" priority="3158">
      <formula>$AE55=3</formula>
    </cfRule>
    <cfRule type="expression" dxfId="3524" priority="3159">
      <formula>$AE55=2</formula>
    </cfRule>
    <cfRule type="expression" dxfId="3523" priority="3160">
      <formula>$AE55=1</formula>
    </cfRule>
  </conditionalFormatting>
  <conditionalFormatting sqref="X55:Y55">
    <cfRule type="expression" dxfId="3522" priority="3153">
      <formula>$AF55=4</formula>
    </cfRule>
    <cfRule type="expression" dxfId="3521" priority="3154">
      <formula>$AF55=3</formula>
    </cfRule>
    <cfRule type="expression" dxfId="3520" priority="3155">
      <formula>$AF55=2</formula>
    </cfRule>
    <cfRule type="expression" dxfId="3519" priority="3156">
      <formula>$AF55=1</formula>
    </cfRule>
  </conditionalFormatting>
  <conditionalFormatting sqref="X55:Y55">
    <cfRule type="expression" dxfId="3518" priority="3152">
      <formula>$AC55=2</formula>
    </cfRule>
  </conditionalFormatting>
  <conditionalFormatting sqref="J55:K55">
    <cfRule type="expression" dxfId="3517" priority="3143">
      <formula>$AD55=4</formula>
    </cfRule>
    <cfRule type="expression" dxfId="3516" priority="3144">
      <formula>$AD55=3</formula>
    </cfRule>
    <cfRule type="expression" dxfId="3515" priority="3145">
      <formula>$AD55=2</formula>
    </cfRule>
    <cfRule type="expression" dxfId="3514" priority="3146">
      <formula>$AD55=1</formula>
    </cfRule>
  </conditionalFormatting>
  <conditionalFormatting sqref="J55:K55">
    <cfRule type="expression" dxfId="3513" priority="3142">
      <formula>$AC55=2</formula>
    </cfRule>
  </conditionalFormatting>
  <conditionalFormatting sqref="L55">
    <cfRule type="expression" dxfId="3512" priority="3141">
      <formula>$AC55=2</formula>
    </cfRule>
  </conditionalFormatting>
  <conditionalFormatting sqref="O55">
    <cfRule type="expression" dxfId="3511" priority="3140">
      <formula>$AC55=2</formula>
    </cfRule>
  </conditionalFormatting>
  <conditionalFormatting sqref="V55">
    <cfRule type="expression" dxfId="3510" priority="3139">
      <formula>$AC55=2</formula>
    </cfRule>
  </conditionalFormatting>
  <conditionalFormatting sqref="Q58:R58">
    <cfRule type="expression" dxfId="3509" priority="3135">
      <formula>$AE58=4</formula>
    </cfRule>
    <cfRule type="expression" dxfId="3508" priority="3136">
      <formula>$AE58=3</formula>
    </cfRule>
    <cfRule type="expression" dxfId="3507" priority="3137">
      <formula>$AE58=2</formula>
    </cfRule>
    <cfRule type="expression" dxfId="3506" priority="3138">
      <formula>$AE58=1</formula>
    </cfRule>
  </conditionalFormatting>
  <conditionalFormatting sqref="X58:Y58">
    <cfRule type="expression" dxfId="3505" priority="3131">
      <formula>$AF58=4</formula>
    </cfRule>
    <cfRule type="expression" dxfId="3504" priority="3132">
      <formula>$AF58=3</formula>
    </cfRule>
    <cfRule type="expression" dxfId="3503" priority="3133">
      <formula>$AF58=2</formula>
    </cfRule>
    <cfRule type="expression" dxfId="3502" priority="3134">
      <formula>$AF58=1</formula>
    </cfRule>
  </conditionalFormatting>
  <conditionalFormatting sqref="X58:Y58">
    <cfRule type="expression" dxfId="3501" priority="3130">
      <formula>$AC58=2</formula>
    </cfRule>
  </conditionalFormatting>
  <conditionalFormatting sqref="J58:K58">
    <cfRule type="expression" dxfId="3500" priority="3121">
      <formula>$AD58=4</formula>
    </cfRule>
    <cfRule type="expression" dxfId="3499" priority="3122">
      <formula>$AD58=3</formula>
    </cfRule>
    <cfRule type="expression" dxfId="3498" priority="3123">
      <formula>$AD58=2</formula>
    </cfRule>
    <cfRule type="expression" dxfId="3497" priority="3124">
      <formula>$AD58=1</formula>
    </cfRule>
  </conditionalFormatting>
  <conditionalFormatting sqref="J58:K58">
    <cfRule type="expression" dxfId="3496" priority="3120">
      <formula>$AC58=2</formula>
    </cfRule>
  </conditionalFormatting>
  <conditionalFormatting sqref="L58">
    <cfRule type="expression" dxfId="3495" priority="3119">
      <formula>$AC58=2</formula>
    </cfRule>
  </conditionalFormatting>
  <conditionalFormatting sqref="O58">
    <cfRule type="expression" dxfId="3494" priority="3118">
      <formula>$AC58=2</formula>
    </cfRule>
  </conditionalFormatting>
  <conditionalFormatting sqref="V58">
    <cfRule type="expression" dxfId="3493" priority="3117">
      <formula>$AC58=2</formula>
    </cfRule>
  </conditionalFormatting>
  <conditionalFormatting sqref="Q61:R61">
    <cfRule type="expression" dxfId="3492" priority="3113">
      <formula>$AE61=4</formula>
    </cfRule>
    <cfRule type="expression" dxfId="3491" priority="3114">
      <formula>$AE61=3</formula>
    </cfRule>
    <cfRule type="expression" dxfId="3490" priority="3115">
      <formula>$AE61=2</formula>
    </cfRule>
    <cfRule type="expression" dxfId="3489" priority="3116">
      <formula>$AE61=1</formula>
    </cfRule>
  </conditionalFormatting>
  <conditionalFormatting sqref="X61:Y61">
    <cfRule type="expression" dxfId="3488" priority="3109">
      <formula>$AF61=4</formula>
    </cfRule>
    <cfRule type="expression" dxfId="3487" priority="3110">
      <formula>$AF61=3</formula>
    </cfRule>
    <cfRule type="expression" dxfId="3486" priority="3111">
      <formula>$AF61=2</formula>
    </cfRule>
    <cfRule type="expression" dxfId="3485" priority="3112">
      <formula>$AF61=1</formula>
    </cfRule>
  </conditionalFormatting>
  <conditionalFormatting sqref="X61:Y61">
    <cfRule type="expression" dxfId="3484" priority="3108">
      <formula>$AC61=2</formula>
    </cfRule>
  </conditionalFormatting>
  <conditionalFormatting sqref="J61:K61">
    <cfRule type="expression" dxfId="3483" priority="3099">
      <formula>$AD61=4</formula>
    </cfRule>
    <cfRule type="expression" dxfId="3482" priority="3100">
      <formula>$AD61=3</formula>
    </cfRule>
    <cfRule type="expression" dxfId="3481" priority="3101">
      <formula>$AD61=2</formula>
    </cfRule>
    <cfRule type="expression" dxfId="3480" priority="3102">
      <formula>$AD61=1</formula>
    </cfRule>
  </conditionalFormatting>
  <conditionalFormatting sqref="J61:K61">
    <cfRule type="expression" dxfId="3479" priority="3098">
      <formula>$AC61=2</formula>
    </cfRule>
  </conditionalFormatting>
  <conditionalFormatting sqref="L61">
    <cfRule type="expression" dxfId="3478" priority="3097">
      <formula>$AC61=2</formula>
    </cfRule>
  </conditionalFormatting>
  <conditionalFormatting sqref="O61">
    <cfRule type="expression" dxfId="3477" priority="4554">
      <formula>$AC61=2</formula>
    </cfRule>
  </conditionalFormatting>
  <conditionalFormatting sqref="V61">
    <cfRule type="expression" dxfId="3476" priority="3095">
      <formula>$AC61=2</formula>
    </cfRule>
  </conditionalFormatting>
  <conditionalFormatting sqref="Q73:R73">
    <cfRule type="expression" dxfId="3475" priority="3091">
      <formula>$AE73=4</formula>
    </cfRule>
    <cfRule type="expression" dxfId="3474" priority="3092">
      <formula>$AE73=3</formula>
    </cfRule>
    <cfRule type="expression" dxfId="3473" priority="3093">
      <formula>$AE73=2</formula>
    </cfRule>
    <cfRule type="expression" dxfId="3472" priority="3094">
      <formula>$AE73=1</formula>
    </cfRule>
  </conditionalFormatting>
  <conditionalFormatting sqref="X73:Y73">
    <cfRule type="expression" dxfId="3471" priority="3087">
      <formula>$AF73=4</formula>
    </cfRule>
    <cfRule type="expression" dxfId="3470" priority="3088">
      <formula>$AF73=3</formula>
    </cfRule>
    <cfRule type="expression" dxfId="3469" priority="3089">
      <formula>$AF73=2</formula>
    </cfRule>
    <cfRule type="expression" dxfId="3468" priority="3090">
      <formula>$AF73=1</formula>
    </cfRule>
  </conditionalFormatting>
  <conditionalFormatting sqref="X73:Y73">
    <cfRule type="expression" dxfId="3467" priority="3086">
      <formula>$AC73=2</formula>
    </cfRule>
  </conditionalFormatting>
  <conditionalFormatting sqref="J73:K73">
    <cfRule type="expression" dxfId="3466" priority="3077">
      <formula>$AD73=4</formula>
    </cfRule>
    <cfRule type="expression" dxfId="3465" priority="3078">
      <formula>$AD73=3</formula>
    </cfRule>
    <cfRule type="expression" dxfId="3464" priority="3079">
      <formula>$AD73=2</formula>
    </cfRule>
    <cfRule type="expression" dxfId="3463" priority="3080">
      <formula>$AD73=1</formula>
    </cfRule>
  </conditionalFormatting>
  <conditionalFormatting sqref="J73:K73">
    <cfRule type="expression" dxfId="3462" priority="3076">
      <formula>$AC73=2</formula>
    </cfRule>
  </conditionalFormatting>
  <conditionalFormatting sqref="L73">
    <cfRule type="expression" dxfId="3461" priority="3075">
      <formula>$AC73=2</formula>
    </cfRule>
  </conditionalFormatting>
  <conditionalFormatting sqref="O73">
    <cfRule type="expression" dxfId="3460" priority="3074">
      <formula>$AC73=2</formula>
    </cfRule>
  </conditionalFormatting>
  <conditionalFormatting sqref="V73">
    <cfRule type="expression" dxfId="3459" priority="3073">
      <formula>$AC73=2</formula>
    </cfRule>
  </conditionalFormatting>
  <conditionalFormatting sqref="Q77:R77">
    <cfRule type="expression" dxfId="3458" priority="3069">
      <formula>$AE77=4</formula>
    </cfRule>
    <cfRule type="expression" dxfId="3457" priority="3070">
      <formula>$AE77=3</formula>
    </cfRule>
    <cfRule type="expression" dxfId="3456" priority="3071">
      <formula>$AE77=2</formula>
    </cfRule>
    <cfRule type="expression" dxfId="3455" priority="3072">
      <formula>$AE77=1</formula>
    </cfRule>
  </conditionalFormatting>
  <conditionalFormatting sqref="X77:Y77">
    <cfRule type="expression" dxfId="3454" priority="3065">
      <formula>$AF77=4</formula>
    </cfRule>
    <cfRule type="expression" dxfId="3453" priority="3066">
      <formula>$AF77=3</formula>
    </cfRule>
    <cfRule type="expression" dxfId="3452" priority="3067">
      <formula>$AF77=2</formula>
    </cfRule>
    <cfRule type="expression" dxfId="3451" priority="3068">
      <formula>$AF77=1</formula>
    </cfRule>
  </conditionalFormatting>
  <conditionalFormatting sqref="X77:Y77">
    <cfRule type="expression" dxfId="3450" priority="3064">
      <formula>$AC77=2</formula>
    </cfRule>
  </conditionalFormatting>
  <conditionalFormatting sqref="J77:K77">
    <cfRule type="expression" dxfId="3449" priority="3055">
      <formula>$AD77=4</formula>
    </cfRule>
    <cfRule type="expression" dxfId="3448" priority="3056">
      <formula>$AD77=3</formula>
    </cfRule>
    <cfRule type="expression" dxfId="3447" priority="3057">
      <formula>$AD77=2</formula>
    </cfRule>
    <cfRule type="expression" dxfId="3446" priority="3058">
      <formula>$AD77=1</formula>
    </cfRule>
  </conditionalFormatting>
  <conditionalFormatting sqref="J77:K77">
    <cfRule type="expression" dxfId="3445" priority="3054">
      <formula>$AC77=2</formula>
    </cfRule>
  </conditionalFormatting>
  <conditionalFormatting sqref="L77">
    <cfRule type="expression" dxfId="3444" priority="3053">
      <formula>$AC77=2</formula>
    </cfRule>
  </conditionalFormatting>
  <conditionalFormatting sqref="O77">
    <cfRule type="expression" dxfId="3443" priority="3052">
      <formula>$AC77=2</formula>
    </cfRule>
  </conditionalFormatting>
  <conditionalFormatting sqref="V77">
    <cfRule type="expression" dxfId="3442" priority="3051">
      <formula>$AC77=2</formula>
    </cfRule>
  </conditionalFormatting>
  <conditionalFormatting sqref="Q80:R80">
    <cfRule type="expression" dxfId="3441" priority="3047">
      <formula>$AE80=4</formula>
    </cfRule>
    <cfRule type="expression" dxfId="3440" priority="3048">
      <formula>$AE80=3</formula>
    </cfRule>
    <cfRule type="expression" dxfId="3439" priority="3049">
      <formula>$AE80=2</formula>
    </cfRule>
    <cfRule type="expression" dxfId="3438" priority="3050">
      <formula>$AE80=1</formula>
    </cfRule>
  </conditionalFormatting>
  <conditionalFormatting sqref="X80:Y80">
    <cfRule type="expression" dxfId="3437" priority="3043">
      <formula>$AF80=4</formula>
    </cfRule>
    <cfRule type="expression" dxfId="3436" priority="3044">
      <formula>$AF80=3</formula>
    </cfRule>
    <cfRule type="expression" dxfId="3435" priority="3045">
      <formula>$AF80=2</formula>
    </cfRule>
    <cfRule type="expression" dxfId="3434" priority="3046">
      <formula>$AF80=1</formula>
    </cfRule>
  </conditionalFormatting>
  <conditionalFormatting sqref="X80:Y80">
    <cfRule type="expression" dxfId="3433" priority="3042">
      <formula>$AC80=2</formula>
    </cfRule>
  </conditionalFormatting>
  <conditionalFormatting sqref="J80:K80">
    <cfRule type="expression" dxfId="3432" priority="3033">
      <formula>$AD80=4</formula>
    </cfRule>
    <cfRule type="expression" dxfId="3431" priority="3034">
      <formula>$AD80=3</formula>
    </cfRule>
    <cfRule type="expression" dxfId="3430" priority="3035">
      <formula>$AD80=2</formula>
    </cfRule>
    <cfRule type="expression" dxfId="3429" priority="3036">
      <formula>$AD80=1</formula>
    </cfRule>
  </conditionalFormatting>
  <conditionalFormatting sqref="J80:K80">
    <cfRule type="expression" dxfId="3428" priority="3032">
      <formula>$AC80=2</formula>
    </cfRule>
  </conditionalFormatting>
  <conditionalFormatting sqref="L80">
    <cfRule type="expression" dxfId="3427" priority="3031">
      <formula>$AC80=2</formula>
    </cfRule>
  </conditionalFormatting>
  <conditionalFormatting sqref="O80">
    <cfRule type="expression" dxfId="3426" priority="3030">
      <formula>$AC80=2</formula>
    </cfRule>
  </conditionalFormatting>
  <conditionalFormatting sqref="V80">
    <cfRule type="expression" dxfId="3425" priority="3029">
      <formula>$AC80=2</formula>
    </cfRule>
  </conditionalFormatting>
  <conditionalFormatting sqref="Q83:R83">
    <cfRule type="expression" dxfId="3424" priority="3025">
      <formula>$AE83=4</formula>
    </cfRule>
    <cfRule type="expression" dxfId="3423" priority="3026">
      <formula>$AE83=3</formula>
    </cfRule>
    <cfRule type="expression" dxfId="3422" priority="3027">
      <formula>$AE83=2</formula>
    </cfRule>
    <cfRule type="expression" dxfId="3421" priority="3028">
      <formula>$AE83=1</formula>
    </cfRule>
  </conditionalFormatting>
  <conditionalFormatting sqref="X83:Y83">
    <cfRule type="expression" dxfId="3420" priority="3021">
      <formula>$AF83=4</formula>
    </cfRule>
    <cfRule type="expression" dxfId="3419" priority="3022">
      <formula>$AF83=3</formula>
    </cfRule>
    <cfRule type="expression" dxfId="3418" priority="3023">
      <formula>$AF83=2</formula>
    </cfRule>
    <cfRule type="expression" dxfId="3417" priority="3024">
      <formula>$AF83=1</formula>
    </cfRule>
  </conditionalFormatting>
  <conditionalFormatting sqref="X83:Y83">
    <cfRule type="expression" dxfId="3416" priority="3020">
      <formula>$AC83=2</formula>
    </cfRule>
  </conditionalFormatting>
  <conditionalFormatting sqref="J83:K83">
    <cfRule type="expression" dxfId="3415" priority="3011">
      <formula>$AD83=4</formula>
    </cfRule>
    <cfRule type="expression" dxfId="3414" priority="3012">
      <formula>$AD83=3</formula>
    </cfRule>
    <cfRule type="expression" dxfId="3413" priority="3013">
      <formula>$AD83=2</formula>
    </cfRule>
    <cfRule type="expression" dxfId="3412" priority="3014">
      <formula>$AD83=1</formula>
    </cfRule>
  </conditionalFormatting>
  <conditionalFormatting sqref="J83:K83">
    <cfRule type="expression" dxfId="3411" priority="3010">
      <formula>$AC83=2</formula>
    </cfRule>
  </conditionalFormatting>
  <conditionalFormatting sqref="L83">
    <cfRule type="expression" dxfId="3410" priority="3009">
      <formula>$AC83=2</formula>
    </cfRule>
  </conditionalFormatting>
  <conditionalFormatting sqref="O83">
    <cfRule type="expression" dxfId="3409" priority="3008">
      <formula>$AC83=2</formula>
    </cfRule>
  </conditionalFormatting>
  <conditionalFormatting sqref="V83">
    <cfRule type="expression" dxfId="3408" priority="3007">
      <formula>$AC83=2</formula>
    </cfRule>
  </conditionalFormatting>
  <conditionalFormatting sqref="Q87:R87">
    <cfRule type="expression" dxfId="3407" priority="3003">
      <formula>$AE87=4</formula>
    </cfRule>
    <cfRule type="expression" dxfId="3406" priority="3004">
      <formula>$AE87=3</formula>
    </cfRule>
    <cfRule type="expression" dxfId="3405" priority="3005">
      <formula>$AE87=2</formula>
    </cfRule>
    <cfRule type="expression" dxfId="3404" priority="3006">
      <formula>$AE87=1</formula>
    </cfRule>
  </conditionalFormatting>
  <conditionalFormatting sqref="X87:Y87">
    <cfRule type="expression" dxfId="3403" priority="2999">
      <formula>$AF87=4</formula>
    </cfRule>
    <cfRule type="expression" dxfId="3402" priority="3000">
      <formula>$AF87=3</formula>
    </cfRule>
    <cfRule type="expression" dxfId="3401" priority="3001">
      <formula>$AF87=2</formula>
    </cfRule>
    <cfRule type="expression" dxfId="3400" priority="3002">
      <formula>$AF87=1</formula>
    </cfRule>
  </conditionalFormatting>
  <conditionalFormatting sqref="X87:Y87">
    <cfRule type="expression" dxfId="3399" priority="2998">
      <formula>$AC87=2</formula>
    </cfRule>
  </conditionalFormatting>
  <conditionalFormatting sqref="J87:K87">
    <cfRule type="expression" dxfId="3398" priority="2989">
      <formula>$AD87=4</formula>
    </cfRule>
    <cfRule type="expression" dxfId="3397" priority="2990">
      <formula>$AD87=3</formula>
    </cfRule>
    <cfRule type="expression" dxfId="3396" priority="2991">
      <formula>$AD87=2</formula>
    </cfRule>
    <cfRule type="expression" dxfId="3395" priority="2992">
      <formula>$AD87=1</formula>
    </cfRule>
  </conditionalFormatting>
  <conditionalFormatting sqref="J87:K87">
    <cfRule type="expression" dxfId="3394" priority="2988">
      <formula>$AC87=2</formula>
    </cfRule>
  </conditionalFormatting>
  <conditionalFormatting sqref="L87">
    <cfRule type="expression" dxfId="3393" priority="2987">
      <formula>$AC87=2</formula>
    </cfRule>
  </conditionalFormatting>
  <conditionalFormatting sqref="O87">
    <cfRule type="expression" dxfId="3392" priority="2986">
      <formula>$AC87=2</formula>
    </cfRule>
  </conditionalFormatting>
  <conditionalFormatting sqref="V87">
    <cfRule type="expression" dxfId="3391" priority="2985">
      <formula>$AC87=2</formula>
    </cfRule>
  </conditionalFormatting>
  <conditionalFormatting sqref="Q90:R90">
    <cfRule type="expression" dxfId="3390" priority="2981">
      <formula>$AE90=4</formula>
    </cfRule>
    <cfRule type="expression" dxfId="3389" priority="2982">
      <formula>$AE90=3</formula>
    </cfRule>
    <cfRule type="expression" dxfId="3388" priority="2983">
      <formula>$AE90=2</formula>
    </cfRule>
    <cfRule type="expression" dxfId="3387" priority="2984">
      <formula>$AE90=1</formula>
    </cfRule>
  </conditionalFormatting>
  <conditionalFormatting sqref="X90:Y90">
    <cfRule type="expression" dxfId="3386" priority="2977">
      <formula>$AF90=4</formula>
    </cfRule>
    <cfRule type="expression" dxfId="3385" priority="2978">
      <formula>$AF90=3</formula>
    </cfRule>
    <cfRule type="expression" dxfId="3384" priority="2979">
      <formula>$AF90=2</formula>
    </cfRule>
    <cfRule type="expression" dxfId="3383" priority="2980">
      <formula>$AF90=1</formula>
    </cfRule>
  </conditionalFormatting>
  <conditionalFormatting sqref="X90:Y90">
    <cfRule type="expression" dxfId="3382" priority="2976">
      <formula>$AC90=2</formula>
    </cfRule>
  </conditionalFormatting>
  <conditionalFormatting sqref="J90:K90">
    <cfRule type="expression" dxfId="3381" priority="2967">
      <formula>$AD90=4</formula>
    </cfRule>
    <cfRule type="expression" dxfId="3380" priority="2968">
      <formula>$AD90=3</formula>
    </cfRule>
    <cfRule type="expression" dxfId="3379" priority="2969">
      <formula>$AD90=2</formula>
    </cfRule>
    <cfRule type="expression" dxfId="3378" priority="2970">
      <formula>$AD90=1</formula>
    </cfRule>
  </conditionalFormatting>
  <conditionalFormatting sqref="J90:K90">
    <cfRule type="expression" dxfId="3377" priority="2966">
      <formula>$AC90=2</formula>
    </cfRule>
  </conditionalFormatting>
  <conditionalFormatting sqref="L90">
    <cfRule type="expression" dxfId="3376" priority="2965">
      <formula>$AC90=2</formula>
    </cfRule>
  </conditionalFormatting>
  <conditionalFormatting sqref="O90">
    <cfRule type="expression" dxfId="3375" priority="2964">
      <formula>$AC90=2</formula>
    </cfRule>
  </conditionalFormatting>
  <conditionalFormatting sqref="V90">
    <cfRule type="expression" dxfId="3374" priority="2963">
      <formula>$AC90=2</formula>
    </cfRule>
  </conditionalFormatting>
  <conditionalFormatting sqref="Q98:R98">
    <cfRule type="expression" dxfId="3373" priority="2959">
      <formula>$AE98=4</formula>
    </cfRule>
    <cfRule type="expression" dxfId="3372" priority="2960">
      <formula>$AE98=3</formula>
    </cfRule>
    <cfRule type="expression" dxfId="3371" priority="2961">
      <formula>$AE98=2</formula>
    </cfRule>
    <cfRule type="expression" dxfId="3370" priority="2962">
      <formula>$AE98=1</formula>
    </cfRule>
  </conditionalFormatting>
  <conditionalFormatting sqref="X98:Y98">
    <cfRule type="expression" dxfId="3369" priority="2955">
      <formula>$AF98=4</formula>
    </cfRule>
    <cfRule type="expression" dxfId="3368" priority="2956">
      <formula>$AF98=3</formula>
    </cfRule>
    <cfRule type="expression" dxfId="3367" priority="2957">
      <formula>$AF98=2</formula>
    </cfRule>
    <cfRule type="expression" dxfId="3366" priority="2958">
      <formula>$AF98=1</formula>
    </cfRule>
  </conditionalFormatting>
  <conditionalFormatting sqref="X98:Y98">
    <cfRule type="expression" dxfId="3365" priority="2954">
      <formula>$AC98=2</formula>
    </cfRule>
  </conditionalFormatting>
  <conditionalFormatting sqref="J98:K98">
    <cfRule type="expression" dxfId="3364" priority="2945">
      <formula>$AD98=4</formula>
    </cfRule>
    <cfRule type="expression" dxfId="3363" priority="2946">
      <formula>$AD98=3</formula>
    </cfRule>
    <cfRule type="expression" dxfId="3362" priority="2947">
      <formula>$AD98=2</formula>
    </cfRule>
    <cfRule type="expression" dxfId="3361" priority="2948">
      <formula>$AD98=1</formula>
    </cfRule>
  </conditionalFormatting>
  <conditionalFormatting sqref="J98:K98">
    <cfRule type="expression" dxfId="3360" priority="2944">
      <formula>$AC98=2</formula>
    </cfRule>
  </conditionalFormatting>
  <conditionalFormatting sqref="L98">
    <cfRule type="expression" dxfId="3359" priority="2943">
      <formula>$AC98=2</formula>
    </cfRule>
  </conditionalFormatting>
  <conditionalFormatting sqref="O98">
    <cfRule type="expression" dxfId="3358" priority="2942">
      <formula>$AC98=2</formula>
    </cfRule>
  </conditionalFormatting>
  <conditionalFormatting sqref="V98">
    <cfRule type="expression" dxfId="3357" priority="2941">
      <formula>$AC98=2</formula>
    </cfRule>
  </conditionalFormatting>
  <conditionalFormatting sqref="Q107:R107">
    <cfRule type="expression" dxfId="3356" priority="2937">
      <formula>$AE107=4</formula>
    </cfRule>
    <cfRule type="expression" dxfId="3355" priority="2938">
      <formula>$AE107=3</formula>
    </cfRule>
    <cfRule type="expression" dxfId="3354" priority="2939">
      <formula>$AE107=2</formula>
    </cfRule>
    <cfRule type="expression" dxfId="3353" priority="2940">
      <formula>$AE107=1</formula>
    </cfRule>
  </conditionalFormatting>
  <conditionalFormatting sqref="X107:Y107">
    <cfRule type="expression" dxfId="3352" priority="2933">
      <formula>$AF107=4</formula>
    </cfRule>
    <cfRule type="expression" dxfId="3351" priority="2934">
      <formula>$AF107=3</formula>
    </cfRule>
    <cfRule type="expression" dxfId="3350" priority="2935">
      <formula>$AF107=2</formula>
    </cfRule>
    <cfRule type="expression" dxfId="3349" priority="2936">
      <formula>$AF107=1</formula>
    </cfRule>
  </conditionalFormatting>
  <conditionalFormatting sqref="X107:Y107">
    <cfRule type="expression" dxfId="3348" priority="2932">
      <formula>$AC107=2</formula>
    </cfRule>
  </conditionalFormatting>
  <conditionalFormatting sqref="J107:K107">
    <cfRule type="expression" dxfId="3347" priority="2923">
      <formula>$AD107=4</formula>
    </cfRule>
    <cfRule type="expression" dxfId="3346" priority="2924">
      <formula>$AD107=3</formula>
    </cfRule>
    <cfRule type="expression" dxfId="3345" priority="2925">
      <formula>$AD107=2</formula>
    </cfRule>
    <cfRule type="expression" dxfId="3344" priority="2926">
      <formula>$AD107=1</formula>
    </cfRule>
  </conditionalFormatting>
  <conditionalFormatting sqref="J107:K107">
    <cfRule type="expression" dxfId="3343" priority="2922">
      <formula>$AC107=2</formula>
    </cfRule>
  </conditionalFormatting>
  <conditionalFormatting sqref="L107">
    <cfRule type="expression" dxfId="3342" priority="2921">
      <formula>$AC107=2</formula>
    </cfRule>
  </conditionalFormatting>
  <conditionalFormatting sqref="O107">
    <cfRule type="expression" dxfId="3341" priority="2920">
      <formula>$AC107=2</formula>
    </cfRule>
  </conditionalFormatting>
  <conditionalFormatting sqref="V107">
    <cfRule type="expression" dxfId="3340" priority="2919">
      <formula>$AC107=2</formula>
    </cfRule>
  </conditionalFormatting>
  <conditionalFormatting sqref="Q109:R109">
    <cfRule type="expression" dxfId="3339" priority="2915">
      <formula>$AE109=4</formula>
    </cfRule>
    <cfRule type="expression" dxfId="3338" priority="2916">
      <formula>$AE109=3</formula>
    </cfRule>
    <cfRule type="expression" dxfId="3337" priority="2917">
      <formula>$AE109=2</formula>
    </cfRule>
    <cfRule type="expression" dxfId="3336" priority="2918">
      <formula>$AE109=1</formula>
    </cfRule>
  </conditionalFormatting>
  <conditionalFormatting sqref="X109:Y109">
    <cfRule type="expression" dxfId="3335" priority="2911">
      <formula>$AF109=4</formula>
    </cfRule>
    <cfRule type="expression" dxfId="3334" priority="2912">
      <formula>$AF109=3</formula>
    </cfRule>
    <cfRule type="expression" dxfId="3333" priority="2913">
      <formula>$AF109=2</formula>
    </cfRule>
    <cfRule type="expression" dxfId="3332" priority="2914">
      <formula>$AF109=1</formula>
    </cfRule>
  </conditionalFormatting>
  <conditionalFormatting sqref="X109:Y109">
    <cfRule type="expression" dxfId="3331" priority="2910">
      <formula>$AC109=2</formula>
    </cfRule>
  </conditionalFormatting>
  <conditionalFormatting sqref="J109:K109">
    <cfRule type="expression" dxfId="3330" priority="2901">
      <formula>$AD109=4</formula>
    </cfRule>
    <cfRule type="expression" dxfId="3329" priority="2902">
      <formula>$AD109=3</formula>
    </cfRule>
    <cfRule type="expression" dxfId="3328" priority="2903">
      <formula>$AD109=2</formula>
    </cfRule>
    <cfRule type="expression" dxfId="3327" priority="2904">
      <formula>$AD109=1</formula>
    </cfRule>
  </conditionalFormatting>
  <conditionalFormatting sqref="L109">
    <cfRule type="expression" dxfId="3326" priority="2899">
      <formula>$AC109=2</formula>
    </cfRule>
  </conditionalFormatting>
  <conditionalFormatting sqref="V109">
    <cfRule type="expression" dxfId="3325" priority="2897">
      <formula>$AC109=2</formula>
    </cfRule>
  </conditionalFormatting>
  <conditionalFormatting sqref="Q113:R113">
    <cfRule type="expression" dxfId="3324" priority="2893">
      <formula>$AE113=4</formula>
    </cfRule>
    <cfRule type="expression" dxfId="3323" priority="2894">
      <formula>$AE113=3</formula>
    </cfRule>
    <cfRule type="expression" dxfId="3322" priority="2895">
      <formula>$AE113=2</formula>
    </cfRule>
    <cfRule type="expression" dxfId="3321" priority="2896">
      <formula>$AE113=1</formula>
    </cfRule>
  </conditionalFormatting>
  <conditionalFormatting sqref="X113:Y113">
    <cfRule type="expression" dxfId="3320" priority="2889">
      <formula>$AF113=4</formula>
    </cfRule>
    <cfRule type="expression" dxfId="3319" priority="2890">
      <formula>$AF113=3</formula>
    </cfRule>
    <cfRule type="expression" dxfId="3318" priority="2891">
      <formula>$AF113=2</formula>
    </cfRule>
    <cfRule type="expression" dxfId="3317" priority="2892">
      <formula>$AF113=1</formula>
    </cfRule>
  </conditionalFormatting>
  <conditionalFormatting sqref="X113:Y113">
    <cfRule type="expression" dxfId="3316" priority="2888">
      <formula>$AC113=2</formula>
    </cfRule>
  </conditionalFormatting>
  <conditionalFormatting sqref="J113:K113">
    <cfRule type="expression" dxfId="3315" priority="2879">
      <formula>$AD113=4</formula>
    </cfRule>
    <cfRule type="expression" dxfId="3314" priority="2880">
      <formula>$AD113=3</formula>
    </cfRule>
    <cfRule type="expression" dxfId="3313" priority="2881">
      <formula>$AD113=2</formula>
    </cfRule>
    <cfRule type="expression" dxfId="3312" priority="2882">
      <formula>$AD113=1</formula>
    </cfRule>
  </conditionalFormatting>
  <conditionalFormatting sqref="J113:K113">
    <cfRule type="expression" dxfId="3311" priority="2878">
      <formula>$AC113=2</formula>
    </cfRule>
  </conditionalFormatting>
  <conditionalFormatting sqref="L113">
    <cfRule type="expression" dxfId="3310" priority="2877">
      <formula>$AC113=2</formula>
    </cfRule>
  </conditionalFormatting>
  <conditionalFormatting sqref="O113">
    <cfRule type="expression" dxfId="3309" priority="2876">
      <formula>$AC113=2</formula>
    </cfRule>
  </conditionalFormatting>
  <conditionalFormatting sqref="V113">
    <cfRule type="expression" dxfId="3308" priority="2875">
      <formula>$AC113=2</formula>
    </cfRule>
  </conditionalFormatting>
  <conditionalFormatting sqref="Q122:R122">
    <cfRule type="expression" dxfId="3307" priority="2871">
      <formula>$AE122=4</formula>
    </cfRule>
    <cfRule type="expression" dxfId="3306" priority="2872">
      <formula>$AE122=3</formula>
    </cfRule>
    <cfRule type="expression" dxfId="3305" priority="2873">
      <formula>$AE122=2</formula>
    </cfRule>
    <cfRule type="expression" dxfId="3304" priority="2874">
      <formula>$AE122=1</formula>
    </cfRule>
  </conditionalFormatting>
  <conditionalFormatting sqref="X122:Y122">
    <cfRule type="expression" dxfId="3303" priority="2867">
      <formula>$AF122=4</formula>
    </cfRule>
    <cfRule type="expression" dxfId="3302" priority="2868">
      <formula>$AF122=3</formula>
    </cfRule>
    <cfRule type="expression" dxfId="3301" priority="2869">
      <formula>$AF122=2</formula>
    </cfRule>
    <cfRule type="expression" dxfId="3300" priority="2870">
      <formula>$AF122=1</formula>
    </cfRule>
  </conditionalFormatting>
  <conditionalFormatting sqref="J122:K122">
    <cfRule type="expression" dxfId="3299" priority="2857">
      <formula>$AD122=4</formula>
    </cfRule>
    <cfRule type="expression" dxfId="3298" priority="2858">
      <formula>$AD122=3</formula>
    </cfRule>
    <cfRule type="expression" dxfId="3297" priority="2859">
      <formula>$AD122=2</formula>
    </cfRule>
    <cfRule type="expression" dxfId="3296" priority="2860">
      <formula>$AD122=1</formula>
    </cfRule>
  </conditionalFormatting>
  <conditionalFormatting sqref="J122:K122">
    <cfRule type="expression" dxfId="3295" priority="2856">
      <formula>$AC122=2</formula>
    </cfRule>
  </conditionalFormatting>
  <conditionalFormatting sqref="L122">
    <cfRule type="expression" dxfId="3294" priority="2855">
      <formula>$AC122=2</formula>
    </cfRule>
  </conditionalFormatting>
  <conditionalFormatting sqref="O122">
    <cfRule type="expression" dxfId="3293" priority="2854">
      <formula>$AC122=2</formula>
    </cfRule>
  </conditionalFormatting>
  <conditionalFormatting sqref="V122">
    <cfRule type="expression" dxfId="3292" priority="2853">
      <formula>$AC122=2</formula>
    </cfRule>
  </conditionalFormatting>
  <conditionalFormatting sqref="Q126:R126">
    <cfRule type="expression" dxfId="3291" priority="2849">
      <formula>$AE126=4</formula>
    </cfRule>
    <cfRule type="expression" dxfId="3290" priority="2850">
      <formula>$AE126=3</formula>
    </cfRule>
    <cfRule type="expression" dxfId="3289" priority="2851">
      <formula>$AE126=2</formula>
    </cfRule>
    <cfRule type="expression" dxfId="3288" priority="2852">
      <formula>$AE126=1</formula>
    </cfRule>
  </conditionalFormatting>
  <conditionalFormatting sqref="X126:Y126">
    <cfRule type="expression" dxfId="3287" priority="2845">
      <formula>$AF126=4</formula>
    </cfRule>
    <cfRule type="expression" dxfId="3286" priority="2846">
      <formula>$AF126=3</formula>
    </cfRule>
    <cfRule type="expression" dxfId="3285" priority="2847">
      <formula>$AF126=2</formula>
    </cfRule>
    <cfRule type="expression" dxfId="3284" priority="2848">
      <formula>$AF126=1</formula>
    </cfRule>
  </conditionalFormatting>
  <conditionalFormatting sqref="X126:Y126">
    <cfRule type="expression" dxfId="3283" priority="2844">
      <formula>$AC126=2</formula>
    </cfRule>
  </conditionalFormatting>
  <conditionalFormatting sqref="J126:K126">
    <cfRule type="expression" dxfId="3282" priority="2835">
      <formula>$AD126=4</formula>
    </cfRule>
    <cfRule type="expression" dxfId="3281" priority="2836">
      <formula>$AD126=3</formula>
    </cfRule>
    <cfRule type="expression" dxfId="3280" priority="2837">
      <formula>$AD126=2</formula>
    </cfRule>
    <cfRule type="expression" dxfId="3279" priority="2838">
      <formula>$AD126=1</formula>
    </cfRule>
  </conditionalFormatting>
  <conditionalFormatting sqref="J126:K126">
    <cfRule type="expression" dxfId="3278" priority="2834">
      <formula>$AC126=2</formula>
    </cfRule>
  </conditionalFormatting>
  <conditionalFormatting sqref="L126">
    <cfRule type="expression" dxfId="3277" priority="2833">
      <formula>$AC126=2</formula>
    </cfRule>
  </conditionalFormatting>
  <conditionalFormatting sqref="O126">
    <cfRule type="expression" dxfId="3276" priority="2832">
      <formula>$AC126=2</formula>
    </cfRule>
  </conditionalFormatting>
  <conditionalFormatting sqref="V126">
    <cfRule type="expression" dxfId="3275" priority="2831">
      <formula>$AC126=2</formula>
    </cfRule>
  </conditionalFormatting>
  <conditionalFormatting sqref="Q130:R130">
    <cfRule type="expression" dxfId="3274" priority="2827">
      <formula>$AE130=4</formula>
    </cfRule>
    <cfRule type="expression" dxfId="3273" priority="2828">
      <formula>$AE130=3</formula>
    </cfRule>
    <cfRule type="expression" dxfId="3272" priority="2829">
      <formula>$AE130=2</formula>
    </cfRule>
    <cfRule type="expression" dxfId="3271" priority="2830">
      <formula>$AE130=1</formula>
    </cfRule>
  </conditionalFormatting>
  <conditionalFormatting sqref="X130:Y130">
    <cfRule type="expression" dxfId="3270" priority="2823">
      <formula>$AF130=4</formula>
    </cfRule>
    <cfRule type="expression" dxfId="3269" priority="2824">
      <formula>$AF130=3</formula>
    </cfRule>
    <cfRule type="expression" dxfId="3268" priority="2825">
      <formula>$AF130=2</formula>
    </cfRule>
    <cfRule type="expression" dxfId="3267" priority="2826">
      <formula>$AF130=1</formula>
    </cfRule>
  </conditionalFormatting>
  <conditionalFormatting sqref="X130:Y130">
    <cfRule type="expression" dxfId="3266" priority="2822">
      <formula>$AC130=2</formula>
    </cfRule>
  </conditionalFormatting>
  <conditionalFormatting sqref="J130:K130">
    <cfRule type="expression" dxfId="3265" priority="2813">
      <formula>$AD130=4</formula>
    </cfRule>
    <cfRule type="expression" dxfId="3264" priority="2814">
      <formula>$AD130=3</formula>
    </cfRule>
    <cfRule type="expression" dxfId="3263" priority="2815">
      <formula>$AD130=2</formula>
    </cfRule>
    <cfRule type="expression" dxfId="3262" priority="2816">
      <formula>$AD130=1</formula>
    </cfRule>
  </conditionalFormatting>
  <conditionalFormatting sqref="J130:K130">
    <cfRule type="expression" dxfId="3261" priority="2812">
      <formula>$AC130=2</formula>
    </cfRule>
  </conditionalFormatting>
  <conditionalFormatting sqref="L130">
    <cfRule type="expression" dxfId="3260" priority="2811">
      <formula>$AC130=2</formula>
    </cfRule>
  </conditionalFormatting>
  <conditionalFormatting sqref="O130">
    <cfRule type="expression" dxfId="3259" priority="2810">
      <formula>$AC130=2</formula>
    </cfRule>
  </conditionalFormatting>
  <conditionalFormatting sqref="V130">
    <cfRule type="expression" dxfId="3258" priority="2809">
      <formula>$AC130=2</formula>
    </cfRule>
  </conditionalFormatting>
  <conditionalFormatting sqref="Q136:R136">
    <cfRule type="expression" dxfId="3257" priority="2805">
      <formula>$AE136=4</formula>
    </cfRule>
    <cfRule type="expression" dxfId="3256" priority="2806">
      <formula>$AE136=3</formula>
    </cfRule>
    <cfRule type="expression" dxfId="3255" priority="2807">
      <formula>$AE136=2</formula>
    </cfRule>
    <cfRule type="expression" dxfId="3254" priority="2808">
      <formula>$AE136=1</formula>
    </cfRule>
  </conditionalFormatting>
  <conditionalFormatting sqref="X136:Y136">
    <cfRule type="expression" dxfId="3253" priority="2801">
      <formula>$AF136=4</formula>
    </cfRule>
    <cfRule type="expression" dxfId="3252" priority="2802">
      <formula>$AF136=3</formula>
    </cfRule>
    <cfRule type="expression" dxfId="3251" priority="2803">
      <formula>$AF136=2</formula>
    </cfRule>
    <cfRule type="expression" dxfId="3250" priority="2804">
      <formula>$AF136=1</formula>
    </cfRule>
  </conditionalFormatting>
  <conditionalFormatting sqref="X136:Y136">
    <cfRule type="expression" dxfId="3249" priority="2800">
      <formula>$AC136=2</formula>
    </cfRule>
  </conditionalFormatting>
  <conditionalFormatting sqref="K136">
    <cfRule type="expression" dxfId="3248" priority="2791">
      <formula>$AD136=4</formula>
    </cfRule>
    <cfRule type="expression" dxfId="3247" priority="2792">
      <formula>$AD136=3</formula>
    </cfRule>
    <cfRule type="expression" dxfId="3246" priority="2793">
      <formula>$AD136=2</formula>
    </cfRule>
    <cfRule type="expression" dxfId="3245" priority="2794">
      <formula>$AD136=1</formula>
    </cfRule>
  </conditionalFormatting>
  <conditionalFormatting sqref="K136">
    <cfRule type="expression" dxfId="3244" priority="2790">
      <formula>$AC136=2</formula>
    </cfRule>
  </conditionalFormatting>
  <conditionalFormatting sqref="L136">
    <cfRule type="expression" dxfId="3243" priority="2789">
      <formula>$AC136=2</formula>
    </cfRule>
  </conditionalFormatting>
  <conditionalFormatting sqref="O136">
    <cfRule type="expression" dxfId="3242" priority="2788">
      <formula>$AC136=2</formula>
    </cfRule>
  </conditionalFormatting>
  <conditionalFormatting sqref="V136">
    <cfRule type="expression" dxfId="3241" priority="2787">
      <formula>$AC136=2</formula>
    </cfRule>
  </conditionalFormatting>
  <conditionalFormatting sqref="Q141:R141">
    <cfRule type="expression" dxfId="3240" priority="2783">
      <formula>$AE141=4</formula>
    </cfRule>
    <cfRule type="expression" dxfId="3239" priority="2784">
      <formula>$AE141=3</formula>
    </cfRule>
    <cfRule type="expression" dxfId="3238" priority="2785">
      <formula>$AE141=2</formula>
    </cfRule>
    <cfRule type="expression" dxfId="3237" priority="2786">
      <formula>$AE141=1</formula>
    </cfRule>
  </conditionalFormatting>
  <conditionalFormatting sqref="X141:Y141">
    <cfRule type="expression" dxfId="3236" priority="2779">
      <formula>$AF141=4</formula>
    </cfRule>
    <cfRule type="expression" dxfId="3235" priority="2780">
      <formula>$AF141=3</formula>
    </cfRule>
    <cfRule type="expression" dxfId="3234" priority="2781">
      <formula>$AF141=2</formula>
    </cfRule>
    <cfRule type="expression" dxfId="3233" priority="2782">
      <formula>$AF141=1</formula>
    </cfRule>
  </conditionalFormatting>
  <conditionalFormatting sqref="X141:Y141">
    <cfRule type="expression" dxfId="3232" priority="2778">
      <formula>$AC141=2</formula>
    </cfRule>
  </conditionalFormatting>
  <conditionalFormatting sqref="J141:K141">
    <cfRule type="expression" dxfId="3231" priority="2769">
      <formula>$AD141=4</formula>
    </cfRule>
    <cfRule type="expression" dxfId="3230" priority="2770">
      <formula>$AD141=3</formula>
    </cfRule>
    <cfRule type="expression" dxfId="3229" priority="2771">
      <formula>$AD141=2</formula>
    </cfRule>
    <cfRule type="expression" dxfId="3228" priority="2772">
      <formula>$AD141=1</formula>
    </cfRule>
  </conditionalFormatting>
  <conditionalFormatting sqref="J141:K141">
    <cfRule type="expression" dxfId="3227" priority="2768">
      <formula>$AC141=2</formula>
    </cfRule>
  </conditionalFormatting>
  <conditionalFormatting sqref="L141">
    <cfRule type="expression" dxfId="3226" priority="2767">
      <formula>$AC141=2</formula>
    </cfRule>
  </conditionalFormatting>
  <conditionalFormatting sqref="O141">
    <cfRule type="expression" dxfId="3225" priority="2766">
      <formula>$AC141=2</formula>
    </cfRule>
  </conditionalFormatting>
  <conditionalFormatting sqref="V141">
    <cfRule type="expression" dxfId="3224" priority="2765">
      <formula>$AC141=2</formula>
    </cfRule>
  </conditionalFormatting>
  <conditionalFormatting sqref="Q154:R154">
    <cfRule type="expression" dxfId="3223" priority="2761">
      <formula>$AE154=4</formula>
    </cfRule>
    <cfRule type="expression" dxfId="3222" priority="2762">
      <formula>$AE154=3</formula>
    </cfRule>
    <cfRule type="expression" dxfId="3221" priority="2763">
      <formula>$AE154=2</formula>
    </cfRule>
    <cfRule type="expression" dxfId="3220" priority="2764">
      <formula>$AE154=1</formula>
    </cfRule>
  </conditionalFormatting>
  <conditionalFormatting sqref="X154:Y154">
    <cfRule type="expression" dxfId="3219" priority="2757">
      <formula>$AF154=4</formula>
    </cfRule>
    <cfRule type="expression" dxfId="3218" priority="2758">
      <formula>$AF154=3</formula>
    </cfRule>
    <cfRule type="expression" dxfId="3217" priority="2759">
      <formula>$AF154=2</formula>
    </cfRule>
    <cfRule type="expression" dxfId="3216" priority="2760">
      <formula>$AF154=1</formula>
    </cfRule>
  </conditionalFormatting>
  <conditionalFormatting sqref="X154:Y154">
    <cfRule type="expression" dxfId="3215" priority="2756">
      <formula>$AC154=2</formula>
    </cfRule>
  </conditionalFormatting>
  <conditionalFormatting sqref="J154:K154">
    <cfRule type="expression" dxfId="3214" priority="2747">
      <formula>$AD154=4</formula>
    </cfRule>
    <cfRule type="expression" dxfId="3213" priority="2748">
      <formula>$AD154=3</formula>
    </cfRule>
    <cfRule type="expression" dxfId="3212" priority="2749">
      <formula>$AD154=2</formula>
    </cfRule>
    <cfRule type="expression" dxfId="3211" priority="2750">
      <formula>$AD154=1</formula>
    </cfRule>
  </conditionalFormatting>
  <conditionalFormatting sqref="J154:K154">
    <cfRule type="expression" dxfId="3210" priority="2746">
      <formula>$AC154=2</formula>
    </cfRule>
  </conditionalFormatting>
  <conditionalFormatting sqref="L154">
    <cfRule type="expression" dxfId="3209" priority="2745">
      <formula>$AC154=2</formula>
    </cfRule>
  </conditionalFormatting>
  <conditionalFormatting sqref="O154">
    <cfRule type="expression" dxfId="3208" priority="2744">
      <formula>$AC154=2</formula>
    </cfRule>
  </conditionalFormatting>
  <conditionalFormatting sqref="V154">
    <cfRule type="expression" dxfId="3207" priority="2743">
      <formula>$AC154=2</formula>
    </cfRule>
  </conditionalFormatting>
  <conditionalFormatting sqref="Q156:R156">
    <cfRule type="expression" dxfId="3206" priority="2739">
      <formula>$AE156=4</formula>
    </cfRule>
    <cfRule type="expression" dxfId="3205" priority="2740">
      <formula>$AE156=3</formula>
    </cfRule>
    <cfRule type="expression" dxfId="3204" priority="2741">
      <formula>$AE156=2</formula>
    </cfRule>
    <cfRule type="expression" dxfId="3203" priority="2742">
      <formula>$AE156=1</formula>
    </cfRule>
  </conditionalFormatting>
  <conditionalFormatting sqref="X156:Y156">
    <cfRule type="expression" dxfId="3202" priority="2735">
      <formula>$AF156=4</formula>
    </cfRule>
    <cfRule type="expression" dxfId="3201" priority="2736">
      <formula>$AF156=3</formula>
    </cfRule>
    <cfRule type="expression" dxfId="3200" priority="2737">
      <formula>$AF156=2</formula>
    </cfRule>
    <cfRule type="expression" dxfId="3199" priority="2738">
      <formula>$AF156=1</formula>
    </cfRule>
  </conditionalFormatting>
  <conditionalFormatting sqref="X156:Y156">
    <cfRule type="expression" dxfId="3198" priority="2734">
      <formula>$AC156=2</formula>
    </cfRule>
  </conditionalFormatting>
  <conditionalFormatting sqref="J156:K156">
    <cfRule type="expression" dxfId="3197" priority="2725">
      <formula>$AD156=4</formula>
    </cfRule>
    <cfRule type="expression" dxfId="3196" priority="2726">
      <formula>$AD156=3</formula>
    </cfRule>
    <cfRule type="expression" dxfId="3195" priority="2727">
      <formula>$AD156=2</formula>
    </cfRule>
    <cfRule type="expression" dxfId="3194" priority="2728">
      <formula>$AD156=1</formula>
    </cfRule>
  </conditionalFormatting>
  <conditionalFormatting sqref="J156:K156">
    <cfRule type="expression" dxfId="3193" priority="2724">
      <formula>$AC156=2</formula>
    </cfRule>
  </conditionalFormatting>
  <conditionalFormatting sqref="L156">
    <cfRule type="expression" dxfId="3192" priority="2723">
      <formula>$AC156=2</formula>
    </cfRule>
  </conditionalFormatting>
  <conditionalFormatting sqref="O156">
    <cfRule type="expression" dxfId="3191" priority="2722">
      <formula>$AC156=2</formula>
    </cfRule>
  </conditionalFormatting>
  <conditionalFormatting sqref="V156">
    <cfRule type="expression" dxfId="3190" priority="2721">
      <formula>$AC156=2</formula>
    </cfRule>
  </conditionalFormatting>
  <conditionalFormatting sqref="Q158:R158">
    <cfRule type="expression" dxfId="3189" priority="2717">
      <formula>$AE158=4</formula>
    </cfRule>
    <cfRule type="expression" dxfId="3188" priority="2718">
      <formula>$AE158=3</formula>
    </cfRule>
    <cfRule type="expression" dxfId="3187" priority="2719">
      <formula>$AE158=2</formula>
    </cfRule>
    <cfRule type="expression" dxfId="3186" priority="2720">
      <formula>$AE158=1</formula>
    </cfRule>
  </conditionalFormatting>
  <conditionalFormatting sqref="X158:Y158">
    <cfRule type="expression" dxfId="3185" priority="2713">
      <formula>$AF158=4</formula>
    </cfRule>
    <cfRule type="expression" dxfId="3184" priority="2714">
      <formula>$AF158=3</formula>
    </cfRule>
    <cfRule type="expression" dxfId="3183" priority="2715">
      <formula>$AF158=2</formula>
    </cfRule>
    <cfRule type="expression" dxfId="3182" priority="2716">
      <formula>$AF158=1</formula>
    </cfRule>
  </conditionalFormatting>
  <conditionalFormatting sqref="X158:Y158">
    <cfRule type="expression" dxfId="3181" priority="2712">
      <formula>$AC158=2</formula>
    </cfRule>
  </conditionalFormatting>
  <conditionalFormatting sqref="J158:K158">
    <cfRule type="expression" dxfId="3180" priority="2703">
      <formula>$AD158=4</formula>
    </cfRule>
    <cfRule type="expression" dxfId="3179" priority="2704">
      <formula>$AD158=3</formula>
    </cfRule>
    <cfRule type="expression" dxfId="3178" priority="2705">
      <formula>$AD158=2</formula>
    </cfRule>
    <cfRule type="expression" dxfId="3177" priority="2706">
      <formula>$AD158=1</formula>
    </cfRule>
  </conditionalFormatting>
  <conditionalFormatting sqref="J158:K158">
    <cfRule type="expression" dxfId="3176" priority="2702">
      <formula>$AC158=2</formula>
    </cfRule>
  </conditionalFormatting>
  <conditionalFormatting sqref="L158">
    <cfRule type="expression" dxfId="3175" priority="2701">
      <formula>$AC158=2</formula>
    </cfRule>
  </conditionalFormatting>
  <conditionalFormatting sqref="O158">
    <cfRule type="expression" dxfId="3174" priority="2700">
      <formula>$AC158=2</formula>
    </cfRule>
  </conditionalFormatting>
  <conditionalFormatting sqref="V158">
    <cfRule type="expression" dxfId="3173" priority="2699">
      <formula>$AC158=2</formula>
    </cfRule>
  </conditionalFormatting>
  <conditionalFormatting sqref="Q166:R166">
    <cfRule type="expression" dxfId="3172" priority="2695">
      <formula>$AE166=4</formula>
    </cfRule>
    <cfRule type="expression" dxfId="3171" priority="2696">
      <formula>$AE166=3</formula>
    </cfRule>
    <cfRule type="expression" dxfId="3170" priority="2697">
      <formula>$AE166=2</formula>
    </cfRule>
    <cfRule type="expression" dxfId="3169" priority="2698">
      <formula>$AE166=1</formula>
    </cfRule>
  </conditionalFormatting>
  <conditionalFormatting sqref="X166:Y166">
    <cfRule type="expression" dxfId="3168" priority="2691">
      <formula>$AF166=4</formula>
    </cfRule>
    <cfRule type="expression" dxfId="3167" priority="2692">
      <formula>$AF166=3</formula>
    </cfRule>
    <cfRule type="expression" dxfId="3166" priority="2693">
      <formula>$AF166=2</formula>
    </cfRule>
    <cfRule type="expression" dxfId="3165" priority="2694">
      <formula>$AF166=1</formula>
    </cfRule>
  </conditionalFormatting>
  <conditionalFormatting sqref="X166:Y166">
    <cfRule type="expression" dxfId="3164" priority="2690">
      <formula>$AC166=2</formula>
    </cfRule>
  </conditionalFormatting>
  <conditionalFormatting sqref="J166:K166">
    <cfRule type="expression" dxfId="3163" priority="2681">
      <formula>$AD166=4</formula>
    </cfRule>
    <cfRule type="expression" dxfId="3162" priority="2682">
      <formula>$AD166=3</formula>
    </cfRule>
    <cfRule type="expression" dxfId="3161" priority="2683">
      <formula>$AD166=2</formula>
    </cfRule>
    <cfRule type="expression" dxfId="3160" priority="2684">
      <formula>$AD166=1</formula>
    </cfRule>
  </conditionalFormatting>
  <conditionalFormatting sqref="J166:K166">
    <cfRule type="expression" dxfId="3159" priority="2680">
      <formula>$AC166=2</formula>
    </cfRule>
  </conditionalFormatting>
  <conditionalFormatting sqref="L166">
    <cfRule type="expression" dxfId="3158" priority="2679">
      <formula>$AC166=2</formula>
    </cfRule>
  </conditionalFormatting>
  <conditionalFormatting sqref="O166">
    <cfRule type="expression" dxfId="3157" priority="2678">
      <formula>$AC166=2</formula>
    </cfRule>
  </conditionalFormatting>
  <conditionalFormatting sqref="V166">
    <cfRule type="expression" dxfId="3156" priority="2677">
      <formula>$AC166=2</formula>
    </cfRule>
  </conditionalFormatting>
  <conditionalFormatting sqref="Q170:R171">
    <cfRule type="expression" dxfId="3155" priority="2673">
      <formula>$AE170=4</formula>
    </cfRule>
    <cfRule type="expression" dxfId="3154" priority="2674">
      <formula>$AE170=3</formula>
    </cfRule>
    <cfRule type="expression" dxfId="3153" priority="2675">
      <formula>$AE170=2</formula>
    </cfRule>
    <cfRule type="expression" dxfId="3152" priority="2676">
      <formula>$AE170=1</formula>
    </cfRule>
  </conditionalFormatting>
  <conditionalFormatting sqref="X170:Y171">
    <cfRule type="expression" dxfId="3151" priority="2669">
      <formula>$AF170=4</formula>
    </cfRule>
    <cfRule type="expression" dxfId="3150" priority="2670">
      <formula>$AF170=3</formula>
    </cfRule>
    <cfRule type="expression" dxfId="3149" priority="2671">
      <formula>$AF170=2</formula>
    </cfRule>
    <cfRule type="expression" dxfId="3148" priority="2672">
      <formula>$AF170=1</formula>
    </cfRule>
  </conditionalFormatting>
  <conditionalFormatting sqref="X170:Y171">
    <cfRule type="expression" dxfId="3147" priority="2668">
      <formula>$AC170=2</formula>
    </cfRule>
  </conditionalFormatting>
  <conditionalFormatting sqref="J170:K171">
    <cfRule type="expression" dxfId="3146" priority="2659">
      <formula>$AD170=4</formula>
    </cfRule>
    <cfRule type="expression" dxfId="3145" priority="2660">
      <formula>$AD170=3</formula>
    </cfRule>
    <cfRule type="expression" dxfId="3144" priority="2661">
      <formula>$AD170=2</formula>
    </cfRule>
    <cfRule type="expression" dxfId="3143" priority="2662">
      <formula>$AD170=1</formula>
    </cfRule>
  </conditionalFormatting>
  <conditionalFormatting sqref="J170:K171">
    <cfRule type="expression" dxfId="3142" priority="2658">
      <formula>$AC170=2</formula>
    </cfRule>
  </conditionalFormatting>
  <conditionalFormatting sqref="L170:L171">
    <cfRule type="expression" dxfId="3141" priority="2657">
      <formula>$AC170=2</formula>
    </cfRule>
  </conditionalFormatting>
  <conditionalFormatting sqref="O170:O171">
    <cfRule type="expression" dxfId="3140" priority="2656">
      <formula>$AC170=2</formula>
    </cfRule>
  </conditionalFormatting>
  <conditionalFormatting sqref="V170:V171">
    <cfRule type="expression" dxfId="3139" priority="2655">
      <formula>$AC170=2</formula>
    </cfRule>
  </conditionalFormatting>
  <conditionalFormatting sqref="Q174:R174">
    <cfRule type="expression" dxfId="3138" priority="2651">
      <formula>$AE174=4</formula>
    </cfRule>
    <cfRule type="expression" dxfId="3137" priority="2652">
      <formula>$AE174=3</formula>
    </cfRule>
    <cfRule type="expression" dxfId="3136" priority="2653">
      <formula>$AE174=2</formula>
    </cfRule>
    <cfRule type="expression" dxfId="3135" priority="2654">
      <formula>$AE174=1</formula>
    </cfRule>
  </conditionalFormatting>
  <conditionalFormatting sqref="X174:Y174">
    <cfRule type="expression" dxfId="3134" priority="2647">
      <formula>$AF174=4</formula>
    </cfRule>
    <cfRule type="expression" dxfId="3133" priority="2648">
      <formula>$AF174=3</formula>
    </cfRule>
    <cfRule type="expression" dxfId="3132" priority="2649">
      <formula>$AF174=2</formula>
    </cfRule>
    <cfRule type="expression" dxfId="3131" priority="2650">
      <formula>$AF174=1</formula>
    </cfRule>
  </conditionalFormatting>
  <conditionalFormatting sqref="X174:Y174">
    <cfRule type="expression" dxfId="3130" priority="2646">
      <formula>$AC174=2</formula>
    </cfRule>
  </conditionalFormatting>
  <conditionalFormatting sqref="J174:K174">
    <cfRule type="expression" dxfId="3129" priority="2637">
      <formula>$AD174=4</formula>
    </cfRule>
    <cfRule type="expression" dxfId="3128" priority="2638">
      <formula>$AD174=3</formula>
    </cfRule>
    <cfRule type="expression" dxfId="3127" priority="2639">
      <formula>$AD174=2</formula>
    </cfRule>
    <cfRule type="expression" dxfId="3126" priority="2640">
      <formula>$AD174=1</formula>
    </cfRule>
  </conditionalFormatting>
  <conditionalFormatting sqref="J174:K174">
    <cfRule type="expression" dxfId="3125" priority="2636">
      <formula>$AC174=2</formula>
    </cfRule>
  </conditionalFormatting>
  <conditionalFormatting sqref="L174">
    <cfRule type="expression" dxfId="3124" priority="2635">
      <formula>$AC174=2</formula>
    </cfRule>
  </conditionalFormatting>
  <conditionalFormatting sqref="O174">
    <cfRule type="expression" dxfId="3123" priority="2634">
      <formula>$AC174=2</formula>
    </cfRule>
  </conditionalFormatting>
  <conditionalFormatting sqref="V174">
    <cfRule type="expression" dxfId="3122" priority="2633">
      <formula>$AC174=2</formula>
    </cfRule>
  </conditionalFormatting>
  <conditionalFormatting sqref="Q178:R178">
    <cfRule type="expression" dxfId="3121" priority="2629">
      <formula>$AE178=4</formula>
    </cfRule>
    <cfRule type="expression" dxfId="3120" priority="2630">
      <formula>$AE178=3</formula>
    </cfRule>
    <cfRule type="expression" dxfId="3119" priority="2631">
      <formula>$AE178=2</formula>
    </cfRule>
    <cfRule type="expression" dxfId="3118" priority="2632">
      <formula>$AE178=1</formula>
    </cfRule>
  </conditionalFormatting>
  <conditionalFormatting sqref="X178:Y178">
    <cfRule type="expression" dxfId="3117" priority="2625">
      <formula>$AF178=4</formula>
    </cfRule>
    <cfRule type="expression" dxfId="3116" priority="2626">
      <formula>$AF178=3</formula>
    </cfRule>
    <cfRule type="expression" dxfId="3115" priority="2627">
      <formula>$AF178=2</formula>
    </cfRule>
    <cfRule type="expression" dxfId="3114" priority="2628">
      <formula>$AF178=1</formula>
    </cfRule>
  </conditionalFormatting>
  <conditionalFormatting sqref="X178:Y178">
    <cfRule type="expression" dxfId="3113" priority="2624">
      <formula>$AC178=2</formula>
    </cfRule>
  </conditionalFormatting>
  <conditionalFormatting sqref="J178:K178">
    <cfRule type="expression" dxfId="3112" priority="2615">
      <formula>$AD178=4</formula>
    </cfRule>
    <cfRule type="expression" dxfId="3111" priority="2616">
      <formula>$AD178=3</formula>
    </cfRule>
    <cfRule type="expression" dxfId="3110" priority="2617">
      <formula>$AD178=2</formula>
    </cfRule>
    <cfRule type="expression" dxfId="3109" priority="2618">
      <formula>$AD178=1</formula>
    </cfRule>
  </conditionalFormatting>
  <conditionalFormatting sqref="J178:K178">
    <cfRule type="expression" dxfId="3108" priority="2614">
      <formula>$AC178=2</formula>
    </cfRule>
  </conditionalFormatting>
  <conditionalFormatting sqref="L178">
    <cfRule type="expression" dxfId="3107" priority="2613">
      <formula>$AC178=2</formula>
    </cfRule>
  </conditionalFormatting>
  <conditionalFormatting sqref="O178">
    <cfRule type="expression" dxfId="3106" priority="2612">
      <formula>$AC178=2</formula>
    </cfRule>
  </conditionalFormatting>
  <conditionalFormatting sqref="V178">
    <cfRule type="expression" dxfId="3105" priority="2611">
      <formula>$AC178=2</formula>
    </cfRule>
  </conditionalFormatting>
  <conditionalFormatting sqref="Q182:R182">
    <cfRule type="expression" dxfId="3104" priority="2607">
      <formula>$AE182=4</formula>
    </cfRule>
    <cfRule type="expression" dxfId="3103" priority="2608">
      <formula>$AE182=3</formula>
    </cfRule>
    <cfRule type="expression" dxfId="3102" priority="2609">
      <formula>$AE182=2</formula>
    </cfRule>
    <cfRule type="expression" dxfId="3101" priority="2610">
      <formula>$AE182=1</formula>
    </cfRule>
  </conditionalFormatting>
  <conditionalFormatting sqref="X182:Y182">
    <cfRule type="expression" dxfId="3100" priority="2603">
      <formula>$AF182=4</formula>
    </cfRule>
    <cfRule type="expression" dxfId="3099" priority="2604">
      <formula>$AF182=3</formula>
    </cfRule>
    <cfRule type="expression" dxfId="3098" priority="2605">
      <formula>$AF182=2</formula>
    </cfRule>
    <cfRule type="expression" dxfId="3097" priority="2606">
      <formula>$AF182=1</formula>
    </cfRule>
  </conditionalFormatting>
  <conditionalFormatting sqref="X182:Y182">
    <cfRule type="expression" dxfId="3096" priority="2602">
      <formula>$AC182=2</formula>
    </cfRule>
  </conditionalFormatting>
  <conditionalFormatting sqref="J182:K182">
    <cfRule type="expression" dxfId="3095" priority="2593">
      <formula>$AD182=4</formula>
    </cfRule>
    <cfRule type="expression" dxfId="3094" priority="2594">
      <formula>$AD182=3</formula>
    </cfRule>
    <cfRule type="expression" dxfId="3093" priority="2595">
      <formula>$AD182=2</formula>
    </cfRule>
    <cfRule type="expression" dxfId="3092" priority="2596">
      <formula>$AD182=1</formula>
    </cfRule>
  </conditionalFormatting>
  <conditionalFormatting sqref="J182:K182">
    <cfRule type="expression" dxfId="3091" priority="2592">
      <formula>$AC182=2</formula>
    </cfRule>
  </conditionalFormatting>
  <conditionalFormatting sqref="L182">
    <cfRule type="expression" dxfId="3090" priority="2591">
      <formula>$AC182=2</formula>
    </cfRule>
  </conditionalFormatting>
  <conditionalFormatting sqref="O182">
    <cfRule type="expression" dxfId="3089" priority="2590">
      <formula>$AC182=2</formula>
    </cfRule>
  </conditionalFormatting>
  <conditionalFormatting sqref="V182">
    <cfRule type="expression" dxfId="3088" priority="2589">
      <formula>$AC182=2</formula>
    </cfRule>
  </conditionalFormatting>
  <conditionalFormatting sqref="Q184:R184">
    <cfRule type="expression" dxfId="3087" priority="2585">
      <formula>$AE184=4</formula>
    </cfRule>
    <cfRule type="expression" dxfId="3086" priority="2586">
      <formula>$AE184=3</formula>
    </cfRule>
    <cfRule type="expression" dxfId="3085" priority="2587">
      <formula>$AE184=2</formula>
    </cfRule>
    <cfRule type="expression" dxfId="3084" priority="2588">
      <formula>$AE184=1</formula>
    </cfRule>
  </conditionalFormatting>
  <conditionalFormatting sqref="X184:Y184">
    <cfRule type="expression" dxfId="3083" priority="2581">
      <formula>$AF184=4</formula>
    </cfRule>
    <cfRule type="expression" dxfId="3082" priority="2582">
      <formula>$AF184=3</formula>
    </cfRule>
    <cfRule type="expression" dxfId="3081" priority="2583">
      <formula>$AF184=2</formula>
    </cfRule>
    <cfRule type="expression" dxfId="3080" priority="2584">
      <formula>$AF184=1</formula>
    </cfRule>
  </conditionalFormatting>
  <conditionalFormatting sqref="X184:Y184">
    <cfRule type="expression" dxfId="3079" priority="2580">
      <formula>$AC184=2</formula>
    </cfRule>
  </conditionalFormatting>
  <conditionalFormatting sqref="J184:K184">
    <cfRule type="expression" dxfId="3078" priority="2571">
      <formula>$AD184=4</formula>
    </cfRule>
    <cfRule type="expression" dxfId="3077" priority="2572">
      <formula>$AD184=3</formula>
    </cfRule>
    <cfRule type="expression" dxfId="3076" priority="2573">
      <formula>$AD184=2</formula>
    </cfRule>
    <cfRule type="expression" dxfId="3075" priority="2574">
      <formula>$AD184=1</formula>
    </cfRule>
  </conditionalFormatting>
  <conditionalFormatting sqref="J184:K184">
    <cfRule type="expression" dxfId="3074" priority="2570">
      <formula>$AC184=2</formula>
    </cfRule>
  </conditionalFormatting>
  <conditionalFormatting sqref="L184">
    <cfRule type="expression" dxfId="3073" priority="2569">
      <formula>$AC184=2</formula>
    </cfRule>
  </conditionalFormatting>
  <conditionalFormatting sqref="O184">
    <cfRule type="expression" dxfId="3072" priority="2568">
      <formula>$AC184=2</formula>
    </cfRule>
  </conditionalFormatting>
  <conditionalFormatting sqref="V184">
    <cfRule type="expression" dxfId="3071" priority="2567">
      <formula>$AC184=2</formula>
    </cfRule>
  </conditionalFormatting>
  <conditionalFormatting sqref="Q187:R187">
    <cfRule type="expression" dxfId="3070" priority="2563">
      <formula>$AE187=4</formula>
    </cfRule>
    <cfRule type="expression" dxfId="3069" priority="2564">
      <formula>$AE187=3</formula>
    </cfRule>
    <cfRule type="expression" dxfId="3068" priority="2565">
      <formula>$AE187=2</formula>
    </cfRule>
    <cfRule type="expression" dxfId="3067" priority="2566">
      <formula>$AE187=1</formula>
    </cfRule>
  </conditionalFormatting>
  <conditionalFormatting sqref="X187:Y187">
    <cfRule type="expression" dxfId="3066" priority="2559">
      <formula>$AF187=4</formula>
    </cfRule>
    <cfRule type="expression" dxfId="3065" priority="2560">
      <formula>$AF187=3</formula>
    </cfRule>
    <cfRule type="expression" dxfId="3064" priority="2561">
      <formula>$AF187=2</formula>
    </cfRule>
    <cfRule type="expression" dxfId="3063" priority="2562">
      <formula>$AF187=1</formula>
    </cfRule>
  </conditionalFormatting>
  <conditionalFormatting sqref="X187:Y187">
    <cfRule type="expression" dxfId="3062" priority="2558">
      <formula>$AC187=2</formula>
    </cfRule>
  </conditionalFormatting>
  <conditionalFormatting sqref="J187:K187">
    <cfRule type="expression" dxfId="3061" priority="2549">
      <formula>$AD187=4</formula>
    </cfRule>
    <cfRule type="expression" dxfId="3060" priority="2550">
      <formula>$AD187=3</formula>
    </cfRule>
    <cfRule type="expression" dxfId="3059" priority="2551">
      <formula>$AD187=2</formula>
    </cfRule>
    <cfRule type="expression" dxfId="3058" priority="2552">
      <formula>$AD187=1</formula>
    </cfRule>
  </conditionalFormatting>
  <conditionalFormatting sqref="J187:K187">
    <cfRule type="expression" dxfId="3057" priority="2548">
      <formula>$AC187=2</formula>
    </cfRule>
  </conditionalFormatting>
  <conditionalFormatting sqref="L187">
    <cfRule type="expression" dxfId="3056" priority="2547">
      <formula>$AC187=2</formula>
    </cfRule>
  </conditionalFormatting>
  <conditionalFormatting sqref="O187">
    <cfRule type="expression" dxfId="3055" priority="2546">
      <formula>$AC187=2</formula>
    </cfRule>
  </conditionalFormatting>
  <conditionalFormatting sqref="V187">
    <cfRule type="expression" dxfId="3054" priority="2545">
      <formula>$AC187=2</formula>
    </cfRule>
  </conditionalFormatting>
  <conditionalFormatting sqref="Q200:R200">
    <cfRule type="expression" dxfId="3053" priority="2541">
      <formula>$AE200=4</formula>
    </cfRule>
    <cfRule type="expression" dxfId="3052" priority="2542">
      <formula>$AE200=3</formula>
    </cfRule>
    <cfRule type="expression" dxfId="3051" priority="2543">
      <formula>$AE200=2</formula>
    </cfRule>
    <cfRule type="expression" dxfId="3050" priority="2544">
      <formula>$AE200=1</formula>
    </cfRule>
  </conditionalFormatting>
  <conditionalFormatting sqref="X200:Y200">
    <cfRule type="expression" dxfId="3049" priority="2537">
      <formula>$AF200=4</formula>
    </cfRule>
    <cfRule type="expression" dxfId="3048" priority="2538">
      <formula>$AF200=3</formula>
    </cfRule>
    <cfRule type="expression" dxfId="3047" priority="2539">
      <formula>$AF200=2</formula>
    </cfRule>
    <cfRule type="expression" dxfId="3046" priority="2540">
      <formula>$AF200=1</formula>
    </cfRule>
  </conditionalFormatting>
  <conditionalFormatting sqref="X200:Y200">
    <cfRule type="expression" dxfId="3045" priority="2536">
      <formula>$AC200=2</formula>
    </cfRule>
  </conditionalFormatting>
  <conditionalFormatting sqref="J200:K200">
    <cfRule type="expression" dxfId="3044" priority="2527">
      <formula>$AD200=4</formula>
    </cfRule>
    <cfRule type="expression" dxfId="3043" priority="2528">
      <formula>$AD200=3</formula>
    </cfRule>
    <cfRule type="expression" dxfId="3042" priority="2529">
      <formula>$AD200=2</formula>
    </cfRule>
    <cfRule type="expression" dxfId="3041" priority="2530">
      <formula>$AD200=1</formula>
    </cfRule>
  </conditionalFormatting>
  <conditionalFormatting sqref="J200:K200">
    <cfRule type="expression" dxfId="3040" priority="2526">
      <formula>$AC200=2</formula>
    </cfRule>
  </conditionalFormatting>
  <conditionalFormatting sqref="L200">
    <cfRule type="expression" dxfId="3039" priority="2525">
      <formula>$AC200=2</formula>
    </cfRule>
  </conditionalFormatting>
  <conditionalFormatting sqref="O200">
    <cfRule type="expression" dxfId="3038" priority="2524">
      <formula>$AC200=2</formula>
    </cfRule>
  </conditionalFormatting>
  <conditionalFormatting sqref="V200">
    <cfRule type="expression" dxfId="3037" priority="2523">
      <formula>$AC200=2</formula>
    </cfRule>
  </conditionalFormatting>
  <conditionalFormatting sqref="Q203:R203">
    <cfRule type="expression" dxfId="3036" priority="2519">
      <formula>$AE203=4</formula>
    </cfRule>
    <cfRule type="expression" dxfId="3035" priority="2520">
      <formula>$AE203=3</formula>
    </cfRule>
    <cfRule type="expression" dxfId="3034" priority="2521">
      <formula>$AE203=2</formula>
    </cfRule>
    <cfRule type="expression" dxfId="3033" priority="2522">
      <formula>$AE203=1</formula>
    </cfRule>
  </conditionalFormatting>
  <conditionalFormatting sqref="X203:Y203">
    <cfRule type="expression" dxfId="3032" priority="2515">
      <formula>$AF203=4</formula>
    </cfRule>
    <cfRule type="expression" dxfId="3031" priority="2516">
      <formula>$AF203=3</formula>
    </cfRule>
    <cfRule type="expression" dxfId="3030" priority="2517">
      <formula>$AF203=2</formula>
    </cfRule>
    <cfRule type="expression" dxfId="3029" priority="2518">
      <formula>$AF203=1</formula>
    </cfRule>
  </conditionalFormatting>
  <conditionalFormatting sqref="X203:Y203">
    <cfRule type="expression" dxfId="3028" priority="2514">
      <formula>$AC203=2</formula>
    </cfRule>
  </conditionalFormatting>
  <conditionalFormatting sqref="J203:K203">
    <cfRule type="expression" dxfId="3027" priority="2505">
      <formula>$AD203=4</formula>
    </cfRule>
    <cfRule type="expression" dxfId="3026" priority="2506">
      <formula>$AD203=3</formula>
    </cfRule>
    <cfRule type="expression" dxfId="3025" priority="2507">
      <formula>$AD203=2</formula>
    </cfRule>
    <cfRule type="expression" dxfId="3024" priority="2508">
      <formula>$AD203=1</formula>
    </cfRule>
  </conditionalFormatting>
  <conditionalFormatting sqref="J203:K203">
    <cfRule type="expression" dxfId="3023" priority="2504">
      <formula>$AC203=2</formula>
    </cfRule>
  </conditionalFormatting>
  <conditionalFormatting sqref="L203">
    <cfRule type="expression" dxfId="3022" priority="2503">
      <formula>$AC203=2</formula>
    </cfRule>
  </conditionalFormatting>
  <conditionalFormatting sqref="O203">
    <cfRule type="expression" dxfId="3021" priority="2502">
      <formula>$AC203=2</formula>
    </cfRule>
  </conditionalFormatting>
  <conditionalFormatting sqref="V203">
    <cfRule type="expression" dxfId="3020" priority="2501">
      <formula>$AC203=2</formula>
    </cfRule>
  </conditionalFormatting>
  <conditionalFormatting sqref="Q206:R206">
    <cfRule type="expression" dxfId="3019" priority="2497">
      <formula>$AE206=4</formula>
    </cfRule>
    <cfRule type="expression" dxfId="3018" priority="2498">
      <formula>$AE206=3</formula>
    </cfRule>
    <cfRule type="expression" dxfId="3017" priority="2499">
      <formula>$AE206=2</formula>
    </cfRule>
    <cfRule type="expression" dxfId="3016" priority="2500">
      <formula>$AE206=1</formula>
    </cfRule>
  </conditionalFormatting>
  <conditionalFormatting sqref="X206:Y206">
    <cfRule type="expression" dxfId="3015" priority="2493">
      <formula>$AF206=4</formula>
    </cfRule>
    <cfRule type="expression" dxfId="3014" priority="2494">
      <formula>$AF206=3</formula>
    </cfRule>
    <cfRule type="expression" dxfId="3013" priority="2495">
      <formula>$AF206=2</formula>
    </cfRule>
    <cfRule type="expression" dxfId="3012" priority="2496">
      <formula>$AF206=1</formula>
    </cfRule>
  </conditionalFormatting>
  <conditionalFormatting sqref="X206:Y206">
    <cfRule type="expression" dxfId="3011" priority="2492">
      <formula>$AC206=2</formula>
    </cfRule>
  </conditionalFormatting>
  <conditionalFormatting sqref="J206:K206">
    <cfRule type="expression" dxfId="3010" priority="2483">
      <formula>$AD206=4</formula>
    </cfRule>
    <cfRule type="expression" dxfId="3009" priority="2484">
      <formula>$AD206=3</formula>
    </cfRule>
    <cfRule type="expression" dxfId="3008" priority="2485">
      <formula>$AD206=2</formula>
    </cfRule>
    <cfRule type="expression" dxfId="3007" priority="2486">
      <formula>$AD206=1</formula>
    </cfRule>
  </conditionalFormatting>
  <conditionalFormatting sqref="J206:K206">
    <cfRule type="expression" dxfId="3006" priority="2482">
      <formula>$AC206=2</formula>
    </cfRule>
  </conditionalFormatting>
  <conditionalFormatting sqref="L206">
    <cfRule type="expression" dxfId="3005" priority="2481">
      <formula>$AC206=2</formula>
    </cfRule>
  </conditionalFormatting>
  <conditionalFormatting sqref="O206">
    <cfRule type="expression" dxfId="3004" priority="2480">
      <formula>$AC206=2</formula>
    </cfRule>
  </conditionalFormatting>
  <conditionalFormatting sqref="V206">
    <cfRule type="expression" dxfId="3003" priority="2479">
      <formula>$AC206=2</formula>
    </cfRule>
  </conditionalFormatting>
  <conditionalFormatting sqref="Q41:R45">
    <cfRule type="expression" dxfId="3002" priority="2475">
      <formula>$AE41=4</formula>
    </cfRule>
    <cfRule type="expression" dxfId="3001" priority="2476">
      <formula>$AE41=3</formula>
    </cfRule>
    <cfRule type="expression" dxfId="3000" priority="2477">
      <formula>$AE41=2</formula>
    </cfRule>
    <cfRule type="expression" dxfId="2999" priority="2478">
      <formula>$AE41=1</formula>
    </cfRule>
  </conditionalFormatting>
  <conditionalFormatting sqref="X41:Y45">
    <cfRule type="expression" dxfId="2998" priority="2471">
      <formula>$AF41=4</formula>
    </cfRule>
    <cfRule type="expression" dxfId="2997" priority="2472">
      <formula>$AF41=3</formula>
    </cfRule>
    <cfRule type="expression" dxfId="2996" priority="2473">
      <formula>$AF41=2</formula>
    </cfRule>
    <cfRule type="expression" dxfId="2995" priority="2474">
      <formula>$AF41=1</formula>
    </cfRule>
  </conditionalFormatting>
  <conditionalFormatting sqref="N41:N45">
    <cfRule type="expression" dxfId="2994" priority="2470">
      <formula>$AC41=2</formula>
    </cfRule>
  </conditionalFormatting>
  <conditionalFormatting sqref="N41:N45">
    <cfRule type="expression" dxfId="2993" priority="2469">
      <formula>N41&gt;F41</formula>
    </cfRule>
  </conditionalFormatting>
  <conditionalFormatting sqref="G41:G45">
    <cfRule type="expression" dxfId="2992" priority="2456">
      <formula>G41&gt;F41</formula>
    </cfRule>
  </conditionalFormatting>
  <conditionalFormatting sqref="J41:K45">
    <cfRule type="expression" dxfId="2991" priority="2460">
      <formula>$AD41=4</formula>
    </cfRule>
    <cfRule type="expression" dxfId="2990" priority="2461">
      <formula>$AD41=3</formula>
    </cfRule>
    <cfRule type="expression" dxfId="2989" priority="2462">
      <formula>$AD41=2</formula>
    </cfRule>
    <cfRule type="expression" dxfId="2988" priority="2463">
      <formula>$AD41=1</formula>
    </cfRule>
  </conditionalFormatting>
  <conditionalFormatting sqref="J41:K45">
    <cfRule type="expression" dxfId="2987" priority="2459">
      <formula>$AC41=2</formula>
    </cfRule>
  </conditionalFormatting>
  <conditionalFormatting sqref="L41:L45">
    <cfRule type="expression" dxfId="2986" priority="2458">
      <formula>$AC41=2</formula>
    </cfRule>
  </conditionalFormatting>
  <conditionalFormatting sqref="G41:G45">
    <cfRule type="expression" dxfId="2985" priority="2457">
      <formula>$AC41=2</formula>
    </cfRule>
  </conditionalFormatting>
  <conditionalFormatting sqref="O41:O45">
    <cfRule type="expression" dxfId="2984" priority="2455">
      <formula>$AC41=2</formula>
    </cfRule>
  </conditionalFormatting>
  <conditionalFormatting sqref="V41:V45">
    <cfRule type="expression" dxfId="2983" priority="2454">
      <formula>$AC41=2</formula>
    </cfRule>
  </conditionalFormatting>
  <conditionalFormatting sqref="U41:U45">
    <cfRule type="expression" dxfId="2982" priority="2453">
      <formula>$AC41=2</formula>
    </cfRule>
  </conditionalFormatting>
  <conditionalFormatting sqref="U41:U45">
    <cfRule type="expression" dxfId="2981" priority="2452">
      <formula>U41&gt;F41</formula>
    </cfRule>
  </conditionalFormatting>
  <conditionalFormatting sqref="Q47:R50">
    <cfRule type="expression" dxfId="2980" priority="2446">
      <formula>$AE47=4</formula>
    </cfRule>
    <cfRule type="expression" dxfId="2979" priority="2447">
      <formula>$AE47=3</formula>
    </cfRule>
    <cfRule type="expression" dxfId="2978" priority="2448">
      <formula>$AE47=2</formula>
    </cfRule>
    <cfRule type="expression" dxfId="2977" priority="2449">
      <formula>$AE47=1</formula>
    </cfRule>
  </conditionalFormatting>
  <conditionalFormatting sqref="X47:Y50">
    <cfRule type="expression" dxfId="2976" priority="2442">
      <formula>$AF47=4</formula>
    </cfRule>
    <cfRule type="expression" dxfId="2975" priority="2443">
      <formula>$AF47=3</formula>
    </cfRule>
    <cfRule type="expression" dxfId="2974" priority="2444">
      <formula>$AF47=2</formula>
    </cfRule>
    <cfRule type="expression" dxfId="2973" priority="2445">
      <formula>$AF47=1</formula>
    </cfRule>
  </conditionalFormatting>
  <conditionalFormatting sqref="N47:N50">
    <cfRule type="expression" dxfId="2972" priority="2441">
      <formula>$AC47=2</formula>
    </cfRule>
  </conditionalFormatting>
  <conditionalFormatting sqref="N47:N50">
    <cfRule type="expression" dxfId="2971" priority="2440">
      <formula>N47&gt;F47</formula>
    </cfRule>
  </conditionalFormatting>
  <conditionalFormatting sqref="J47:K50">
    <cfRule type="expression" dxfId="2970" priority="2431">
      <formula>$AD47=4</formula>
    </cfRule>
    <cfRule type="expression" dxfId="2969" priority="2432">
      <formula>$AD47=3</formula>
    </cfRule>
    <cfRule type="expression" dxfId="2968" priority="2433">
      <formula>$AD47=2</formula>
    </cfRule>
    <cfRule type="expression" dxfId="2967" priority="2434">
      <formula>$AD47=1</formula>
    </cfRule>
  </conditionalFormatting>
  <conditionalFormatting sqref="J47:K50">
    <cfRule type="expression" dxfId="2966" priority="2430">
      <formula>$AC47=2</formula>
    </cfRule>
  </conditionalFormatting>
  <conditionalFormatting sqref="L47:L50">
    <cfRule type="expression" dxfId="2965" priority="2429">
      <formula>$AC47=2</formula>
    </cfRule>
  </conditionalFormatting>
  <conditionalFormatting sqref="O47:O50">
    <cfRule type="expression" dxfId="2964" priority="2426">
      <formula>$AC47=2</formula>
    </cfRule>
  </conditionalFormatting>
  <conditionalFormatting sqref="V47:V50">
    <cfRule type="expression" dxfId="2963" priority="2425">
      <formula>$AC47=2</formula>
    </cfRule>
  </conditionalFormatting>
  <conditionalFormatting sqref="U47:U50">
    <cfRule type="expression" dxfId="2962" priority="2424">
      <formula>$AC47=2</formula>
    </cfRule>
  </conditionalFormatting>
  <conditionalFormatting sqref="U47:U50">
    <cfRule type="expression" dxfId="2961" priority="2423">
      <formula>U47&gt;F47</formula>
    </cfRule>
  </conditionalFormatting>
  <conditionalFormatting sqref="Q52:R54">
    <cfRule type="expression" dxfId="2960" priority="2417">
      <formula>$AE52=4</formula>
    </cfRule>
    <cfRule type="expression" dxfId="2959" priority="2418">
      <formula>$AE52=3</formula>
    </cfRule>
    <cfRule type="expression" dxfId="2958" priority="2419">
      <formula>$AE52=2</formula>
    </cfRule>
    <cfRule type="expression" dxfId="2957" priority="2420">
      <formula>$AE52=1</formula>
    </cfRule>
  </conditionalFormatting>
  <conditionalFormatting sqref="X52:Y54">
    <cfRule type="expression" dxfId="2956" priority="2413">
      <formula>$AF52=4</formula>
    </cfRule>
    <cfRule type="expression" dxfId="2955" priority="2414">
      <formula>$AF52=3</formula>
    </cfRule>
    <cfRule type="expression" dxfId="2954" priority="2415">
      <formula>$AF52=2</formula>
    </cfRule>
    <cfRule type="expression" dxfId="2953" priority="2416">
      <formula>$AF52=1</formula>
    </cfRule>
  </conditionalFormatting>
  <conditionalFormatting sqref="N52:N54">
    <cfRule type="expression" dxfId="2952" priority="2412">
      <formula>$AC52=2</formula>
    </cfRule>
  </conditionalFormatting>
  <conditionalFormatting sqref="N52:N54">
    <cfRule type="expression" dxfId="2951" priority="2411">
      <formula>N52&gt;F52</formula>
    </cfRule>
  </conditionalFormatting>
  <conditionalFormatting sqref="G48:G54">
    <cfRule type="expression" dxfId="2950" priority="2398">
      <formula>G48&gt;F48</formula>
    </cfRule>
  </conditionalFormatting>
  <conditionalFormatting sqref="J52:K54">
    <cfRule type="expression" dxfId="2949" priority="2402">
      <formula>$AD52=4</formula>
    </cfRule>
    <cfRule type="expression" dxfId="2948" priority="2403">
      <formula>$AD52=3</formula>
    </cfRule>
    <cfRule type="expression" dxfId="2947" priority="2404">
      <formula>$AD52=2</formula>
    </cfRule>
    <cfRule type="expression" dxfId="2946" priority="2405">
      <formula>$AD52=1</formula>
    </cfRule>
  </conditionalFormatting>
  <conditionalFormatting sqref="J52:K54">
    <cfRule type="expression" dxfId="2945" priority="2401">
      <formula>$AC52=2</formula>
    </cfRule>
  </conditionalFormatting>
  <conditionalFormatting sqref="L52:L54">
    <cfRule type="expression" dxfId="2944" priority="2400">
      <formula>$AC52=2</formula>
    </cfRule>
  </conditionalFormatting>
  <conditionalFormatting sqref="G48:G54">
    <cfRule type="expression" dxfId="2943" priority="2399">
      <formula>$AC48=2</formula>
    </cfRule>
  </conditionalFormatting>
  <conditionalFormatting sqref="O52:O54">
    <cfRule type="expression" dxfId="2942" priority="2397">
      <formula>$AC52=2</formula>
    </cfRule>
  </conditionalFormatting>
  <conditionalFormatting sqref="V52:V54">
    <cfRule type="expression" dxfId="2941" priority="2396">
      <formula>$AC52=2</formula>
    </cfRule>
  </conditionalFormatting>
  <conditionalFormatting sqref="U52:U54">
    <cfRule type="expression" dxfId="2940" priority="2394">
      <formula>U52&gt;F52</formula>
    </cfRule>
  </conditionalFormatting>
  <conditionalFormatting sqref="Q56:R57">
    <cfRule type="expression" dxfId="2939" priority="2388">
      <formula>$AE56=4</formula>
    </cfRule>
    <cfRule type="expression" dxfId="2938" priority="2389">
      <formula>$AE56=3</formula>
    </cfRule>
    <cfRule type="expression" dxfId="2937" priority="2390">
      <formula>$AE56=2</formula>
    </cfRule>
    <cfRule type="expression" dxfId="2936" priority="2391">
      <formula>$AE56=1</formula>
    </cfRule>
  </conditionalFormatting>
  <conditionalFormatting sqref="X56:Y57">
    <cfRule type="expression" dxfId="2935" priority="2384">
      <formula>$AF56=4</formula>
    </cfRule>
    <cfRule type="expression" dxfId="2934" priority="2385">
      <formula>$AF56=3</formula>
    </cfRule>
    <cfRule type="expression" dxfId="2933" priority="2386">
      <formula>$AF56=2</formula>
    </cfRule>
    <cfRule type="expression" dxfId="2932" priority="2387">
      <formula>$AF56=1</formula>
    </cfRule>
  </conditionalFormatting>
  <conditionalFormatting sqref="N57">
    <cfRule type="expression" dxfId="2931" priority="2383">
      <formula>$AC57=2</formula>
    </cfRule>
  </conditionalFormatting>
  <conditionalFormatting sqref="N57">
    <cfRule type="expression" dxfId="2930" priority="2382">
      <formula>N57&gt;F57</formula>
    </cfRule>
  </conditionalFormatting>
  <conditionalFormatting sqref="G57">
    <cfRule type="expression" dxfId="2929" priority="2369">
      <formula>G57&gt;F57</formula>
    </cfRule>
  </conditionalFormatting>
  <conditionalFormatting sqref="J56:K57">
    <cfRule type="expression" dxfId="2928" priority="2373">
      <formula>$AD56=4</formula>
    </cfRule>
    <cfRule type="expression" dxfId="2927" priority="2374">
      <formula>$AD56=3</formula>
    </cfRule>
    <cfRule type="expression" dxfId="2926" priority="2375">
      <formula>$AD56=2</formula>
    </cfRule>
    <cfRule type="expression" dxfId="2925" priority="2376">
      <formula>$AD56=1</formula>
    </cfRule>
  </conditionalFormatting>
  <conditionalFormatting sqref="J56:K57">
    <cfRule type="expression" dxfId="2924" priority="2372">
      <formula>$AC56=2</formula>
    </cfRule>
  </conditionalFormatting>
  <conditionalFormatting sqref="L56:L57">
    <cfRule type="expression" dxfId="2923" priority="2371">
      <formula>$AC56=2</formula>
    </cfRule>
  </conditionalFormatting>
  <conditionalFormatting sqref="G57">
    <cfRule type="expression" dxfId="2922" priority="2370">
      <formula>$AC57=2</formula>
    </cfRule>
  </conditionalFormatting>
  <conditionalFormatting sqref="O56:O57">
    <cfRule type="expression" dxfId="2921" priority="2368">
      <formula>$AC56=2</formula>
    </cfRule>
  </conditionalFormatting>
  <conditionalFormatting sqref="V56:V57">
    <cfRule type="expression" dxfId="2920" priority="2367">
      <formula>$AC56=2</formula>
    </cfRule>
  </conditionalFormatting>
  <conditionalFormatting sqref="U57">
    <cfRule type="expression" dxfId="2919" priority="2366">
      <formula>$AC57=2</formula>
    </cfRule>
  </conditionalFormatting>
  <conditionalFormatting sqref="U57">
    <cfRule type="expression" dxfId="2918" priority="2365">
      <formula>U57&gt;F57</formula>
    </cfRule>
  </conditionalFormatting>
  <conditionalFormatting sqref="Q59:R60">
    <cfRule type="expression" dxfId="2917" priority="2359">
      <formula>$AE59=4</formula>
    </cfRule>
    <cfRule type="expression" dxfId="2916" priority="2360">
      <formula>$AE59=3</formula>
    </cfRule>
    <cfRule type="expression" dxfId="2915" priority="2361">
      <formula>$AE59=2</formula>
    </cfRule>
    <cfRule type="expression" dxfId="2914" priority="2362">
      <formula>$AE59=1</formula>
    </cfRule>
  </conditionalFormatting>
  <conditionalFormatting sqref="X59:Y60">
    <cfRule type="expression" dxfId="2913" priority="2355">
      <formula>$AF59=4</formula>
    </cfRule>
    <cfRule type="expression" dxfId="2912" priority="2356">
      <formula>$AF59=3</formula>
    </cfRule>
    <cfRule type="expression" dxfId="2911" priority="2357">
      <formula>$AF59=2</formula>
    </cfRule>
    <cfRule type="expression" dxfId="2910" priority="2358">
      <formula>$AF59=1</formula>
    </cfRule>
  </conditionalFormatting>
  <conditionalFormatting sqref="N59:N60">
    <cfRule type="expression" dxfId="2909" priority="2354">
      <formula>$AC59=2</formula>
    </cfRule>
  </conditionalFormatting>
  <conditionalFormatting sqref="N59:N60">
    <cfRule type="expression" dxfId="2908" priority="2353">
      <formula>N59&gt;F59</formula>
    </cfRule>
  </conditionalFormatting>
  <conditionalFormatting sqref="G59:G60">
    <cfRule type="expression" dxfId="2907" priority="2340">
      <formula>G59&gt;F59</formula>
    </cfRule>
  </conditionalFormatting>
  <conditionalFormatting sqref="J59:K60">
    <cfRule type="expression" dxfId="2906" priority="2344">
      <formula>$AD59=4</formula>
    </cfRule>
    <cfRule type="expression" dxfId="2905" priority="2345">
      <formula>$AD59=3</formula>
    </cfRule>
    <cfRule type="expression" dxfId="2904" priority="2346">
      <formula>$AD59=2</formula>
    </cfRule>
    <cfRule type="expression" dxfId="2903" priority="2347">
      <formula>$AD59=1</formula>
    </cfRule>
  </conditionalFormatting>
  <conditionalFormatting sqref="J59:K60">
    <cfRule type="expression" dxfId="2902" priority="2343">
      <formula>$AC59=2</formula>
    </cfRule>
  </conditionalFormatting>
  <conditionalFormatting sqref="G59:G60">
    <cfRule type="expression" dxfId="2901" priority="2341">
      <formula>$AC59=2</formula>
    </cfRule>
  </conditionalFormatting>
  <conditionalFormatting sqref="V59:V60">
    <cfRule type="expression" dxfId="2900" priority="2338">
      <formula>$AC59=2</formula>
    </cfRule>
  </conditionalFormatting>
  <conditionalFormatting sqref="U59:U60">
    <cfRule type="expression" dxfId="2899" priority="2337">
      <formula>$AC59=2</formula>
    </cfRule>
  </conditionalFormatting>
  <conditionalFormatting sqref="U59:U60">
    <cfRule type="expression" dxfId="2898" priority="2336">
      <formula>U59&gt;F59</formula>
    </cfRule>
  </conditionalFormatting>
  <conditionalFormatting sqref="Q62:R62">
    <cfRule type="expression" dxfId="2897" priority="2330">
      <formula>$AE62=4</formula>
    </cfRule>
    <cfRule type="expression" dxfId="2896" priority="2331">
      <formula>$AE62=3</formula>
    </cfRule>
    <cfRule type="expression" dxfId="2895" priority="2332">
      <formula>$AE62=2</formula>
    </cfRule>
    <cfRule type="expression" dxfId="2894" priority="2333">
      <formula>$AE62=1</formula>
    </cfRule>
  </conditionalFormatting>
  <conditionalFormatting sqref="X62:Y62">
    <cfRule type="expression" dxfId="2893" priority="2326">
      <formula>$AF62=4</formula>
    </cfRule>
    <cfRule type="expression" dxfId="2892" priority="2327">
      <formula>$AF62=3</formula>
    </cfRule>
    <cfRule type="expression" dxfId="2891" priority="2328">
      <formula>$AF62=2</formula>
    </cfRule>
    <cfRule type="expression" dxfId="2890" priority="2329">
      <formula>$AF62=1</formula>
    </cfRule>
  </conditionalFormatting>
  <conditionalFormatting sqref="N62">
    <cfRule type="expression" dxfId="2889" priority="2325">
      <formula>$AC62=2</formula>
    </cfRule>
  </conditionalFormatting>
  <conditionalFormatting sqref="N62">
    <cfRule type="expression" dxfId="2888" priority="2324">
      <formula>N62&gt;F62</formula>
    </cfRule>
  </conditionalFormatting>
  <conditionalFormatting sqref="G62">
    <cfRule type="expression" dxfId="2887" priority="2311">
      <formula>G62&gt;F62</formula>
    </cfRule>
  </conditionalFormatting>
  <conditionalFormatting sqref="J62:K62">
    <cfRule type="expression" dxfId="2886" priority="2315">
      <formula>$AD62=4</formula>
    </cfRule>
    <cfRule type="expression" dxfId="2885" priority="2316">
      <formula>$AD62=3</formula>
    </cfRule>
    <cfRule type="expression" dxfId="2884" priority="2317">
      <formula>$AD62=2</formula>
    </cfRule>
    <cfRule type="expression" dxfId="2883" priority="2318">
      <formula>$AD62=1</formula>
    </cfRule>
  </conditionalFormatting>
  <conditionalFormatting sqref="J62:K62">
    <cfRule type="expression" dxfId="2882" priority="2314">
      <formula>$AC62=2</formula>
    </cfRule>
  </conditionalFormatting>
  <conditionalFormatting sqref="L62">
    <cfRule type="expression" dxfId="2881" priority="2313">
      <formula>$AC62=2</formula>
    </cfRule>
  </conditionalFormatting>
  <conditionalFormatting sqref="G62">
    <cfRule type="expression" dxfId="2880" priority="2312">
      <formula>$AC62=2</formula>
    </cfRule>
  </conditionalFormatting>
  <conditionalFormatting sqref="O62">
    <cfRule type="expression" dxfId="2879" priority="2310">
      <formula>$AC62=2</formula>
    </cfRule>
  </conditionalFormatting>
  <conditionalFormatting sqref="V62">
    <cfRule type="expression" dxfId="2878" priority="4550">
      <formula>$AC62=2</formula>
    </cfRule>
  </conditionalFormatting>
  <conditionalFormatting sqref="U62">
    <cfRule type="expression" dxfId="2877" priority="2308">
      <formula>$AC62=2</formula>
    </cfRule>
  </conditionalFormatting>
  <conditionalFormatting sqref="U62">
    <cfRule type="expression" dxfId="2876" priority="2307">
      <formula>U62&gt;F62</formula>
    </cfRule>
  </conditionalFormatting>
  <conditionalFormatting sqref="G67:G69 G71:G72">
    <cfRule type="expression" dxfId="2875" priority="2282">
      <formula>G67&gt;F67</formula>
    </cfRule>
  </conditionalFormatting>
  <conditionalFormatting sqref="G67:G69 G71:G72">
    <cfRule type="expression" dxfId="2874" priority="2283">
      <formula>$AC67=2</formula>
    </cfRule>
  </conditionalFormatting>
  <conditionalFormatting sqref="U67:U69 U71:U72">
    <cfRule type="expression" dxfId="2873" priority="2279">
      <formula>$AC67=2</formula>
    </cfRule>
  </conditionalFormatting>
  <conditionalFormatting sqref="U67:U69 U71:U72">
    <cfRule type="expression" dxfId="2872" priority="2278">
      <formula>U67&gt;F67</formula>
    </cfRule>
  </conditionalFormatting>
  <conditionalFormatting sqref="Q74:R76">
    <cfRule type="expression" dxfId="2871" priority="2272">
      <formula>$AE74=4</formula>
    </cfRule>
    <cfRule type="expression" dxfId="2870" priority="2273">
      <formula>$AE74=3</formula>
    </cfRule>
    <cfRule type="expression" dxfId="2869" priority="2274">
      <formula>$AE74=2</formula>
    </cfRule>
    <cfRule type="expression" dxfId="2868" priority="2275">
      <formula>$AE74=1</formula>
    </cfRule>
  </conditionalFormatting>
  <conditionalFormatting sqref="X74:Y76">
    <cfRule type="expression" dxfId="2867" priority="2268">
      <formula>$AF74=4</formula>
    </cfRule>
    <cfRule type="expression" dxfId="2866" priority="2269">
      <formula>$AF74=3</formula>
    </cfRule>
    <cfRule type="expression" dxfId="2865" priority="2270">
      <formula>$AF74=2</formula>
    </cfRule>
    <cfRule type="expression" dxfId="2864" priority="2271">
      <formula>$AF74=1</formula>
    </cfRule>
  </conditionalFormatting>
  <conditionalFormatting sqref="N74:N76">
    <cfRule type="expression" dxfId="2863" priority="2267">
      <formula>$AC74=2</formula>
    </cfRule>
  </conditionalFormatting>
  <conditionalFormatting sqref="N74:N76">
    <cfRule type="expression" dxfId="2862" priority="2266">
      <formula>N74&gt;F74</formula>
    </cfRule>
  </conditionalFormatting>
  <conditionalFormatting sqref="G74:G76">
    <cfRule type="expression" dxfId="2861" priority="2253">
      <formula>G74&gt;F74</formula>
    </cfRule>
  </conditionalFormatting>
  <conditionalFormatting sqref="J74:K76">
    <cfRule type="expression" dxfId="2860" priority="2257">
      <formula>$AD74=4</formula>
    </cfRule>
    <cfRule type="expression" dxfId="2859" priority="2258">
      <formula>$AD74=3</formula>
    </cfRule>
    <cfRule type="expression" dxfId="2858" priority="2259">
      <formula>$AD74=2</formula>
    </cfRule>
    <cfRule type="expression" dxfId="2857" priority="2260">
      <formula>$AD74=1</formula>
    </cfRule>
  </conditionalFormatting>
  <conditionalFormatting sqref="J74:K76">
    <cfRule type="expression" dxfId="2856" priority="2256">
      <formula>$AC74=2</formula>
    </cfRule>
  </conditionalFormatting>
  <conditionalFormatting sqref="L74:L76">
    <cfRule type="expression" dxfId="2855" priority="2255">
      <formula>$AC74=2</formula>
    </cfRule>
  </conditionalFormatting>
  <conditionalFormatting sqref="G74:G76">
    <cfRule type="expression" dxfId="2854" priority="2254">
      <formula>$AC74=2</formula>
    </cfRule>
  </conditionalFormatting>
  <conditionalFormatting sqref="O74:O76">
    <cfRule type="expression" dxfId="2853" priority="2252">
      <formula>$AC74=2</formula>
    </cfRule>
  </conditionalFormatting>
  <conditionalFormatting sqref="V74:V76">
    <cfRule type="expression" dxfId="2852" priority="2251">
      <formula>$AC74=2</formula>
    </cfRule>
  </conditionalFormatting>
  <conditionalFormatting sqref="U74:U76">
    <cfRule type="expression" dxfId="2851" priority="2250">
      <formula>$AC74=2</formula>
    </cfRule>
  </conditionalFormatting>
  <conditionalFormatting sqref="U74:U76">
    <cfRule type="expression" dxfId="2850" priority="2249">
      <formula>U74&gt;F74</formula>
    </cfRule>
  </conditionalFormatting>
  <conditionalFormatting sqref="Q78:R79">
    <cfRule type="expression" dxfId="2849" priority="2243">
      <formula>$AE78=4</formula>
    </cfRule>
    <cfRule type="expression" dxfId="2848" priority="2244">
      <formula>$AE78=3</formula>
    </cfRule>
    <cfRule type="expression" dxfId="2847" priority="2245">
      <formula>$AE78=2</formula>
    </cfRule>
    <cfRule type="expression" dxfId="2846" priority="2246">
      <formula>$AE78=1</formula>
    </cfRule>
  </conditionalFormatting>
  <conditionalFormatting sqref="X78:Y79">
    <cfRule type="expression" dxfId="2845" priority="2239">
      <formula>$AF78=4</formula>
    </cfRule>
    <cfRule type="expression" dxfId="2844" priority="2240">
      <formula>$AF78=3</formula>
    </cfRule>
    <cfRule type="expression" dxfId="2843" priority="2241">
      <formula>$AF78=2</formula>
    </cfRule>
    <cfRule type="expression" dxfId="2842" priority="2242">
      <formula>$AF78=1</formula>
    </cfRule>
  </conditionalFormatting>
  <conditionalFormatting sqref="N78:N79">
    <cfRule type="expression" dxfId="2841" priority="2238">
      <formula>$AC78=2</formula>
    </cfRule>
  </conditionalFormatting>
  <conditionalFormatting sqref="N78:N79">
    <cfRule type="expression" dxfId="2840" priority="2237">
      <formula>N78&gt;F78</formula>
    </cfRule>
  </conditionalFormatting>
  <conditionalFormatting sqref="G78:G79">
    <cfRule type="expression" dxfId="2839" priority="2224">
      <formula>G78&gt;F78</formula>
    </cfRule>
  </conditionalFormatting>
  <conditionalFormatting sqref="J78:K79">
    <cfRule type="expression" dxfId="2838" priority="2228">
      <formula>$AD78=4</formula>
    </cfRule>
    <cfRule type="expression" dxfId="2837" priority="2229">
      <formula>$AD78=3</formula>
    </cfRule>
    <cfRule type="expression" dxfId="2836" priority="2230">
      <formula>$AD78=2</formula>
    </cfRule>
    <cfRule type="expression" dxfId="2835" priority="2231">
      <formula>$AD78=1</formula>
    </cfRule>
  </conditionalFormatting>
  <conditionalFormatting sqref="J78:K79">
    <cfRule type="expression" dxfId="2834" priority="2227">
      <formula>$AC78=2</formula>
    </cfRule>
  </conditionalFormatting>
  <conditionalFormatting sqref="L78:L79">
    <cfRule type="expression" dxfId="2833" priority="2226">
      <formula>$AC78=2</formula>
    </cfRule>
  </conditionalFormatting>
  <conditionalFormatting sqref="G78:G79">
    <cfRule type="expression" dxfId="2832" priority="2225">
      <formula>$AC78=2</formula>
    </cfRule>
  </conditionalFormatting>
  <conditionalFormatting sqref="O78:O79">
    <cfRule type="expression" dxfId="2831" priority="2223">
      <formula>$AC78=2</formula>
    </cfRule>
  </conditionalFormatting>
  <conditionalFormatting sqref="V78:V79">
    <cfRule type="expression" dxfId="2830" priority="2222">
      <formula>$AC78=2</formula>
    </cfRule>
  </conditionalFormatting>
  <conditionalFormatting sqref="U78:U79">
    <cfRule type="expression" dxfId="2829" priority="2221">
      <formula>$AC78=2</formula>
    </cfRule>
  </conditionalFormatting>
  <conditionalFormatting sqref="U78:U79">
    <cfRule type="expression" dxfId="2828" priority="2220">
      <formula>U78&gt;F78</formula>
    </cfRule>
  </conditionalFormatting>
  <conditionalFormatting sqref="Q81:R82">
    <cfRule type="expression" dxfId="2827" priority="2214">
      <formula>$AE81=4</formula>
    </cfRule>
    <cfRule type="expression" dxfId="2826" priority="2215">
      <formula>$AE81=3</formula>
    </cfRule>
    <cfRule type="expression" dxfId="2825" priority="2216">
      <formula>$AE81=2</formula>
    </cfRule>
    <cfRule type="expression" dxfId="2824" priority="2217">
      <formula>$AE81=1</formula>
    </cfRule>
  </conditionalFormatting>
  <conditionalFormatting sqref="X81:Y82">
    <cfRule type="expression" dxfId="2823" priority="2210">
      <formula>$AF81=4</formula>
    </cfRule>
    <cfRule type="expression" dxfId="2822" priority="2211">
      <formula>$AF81=3</formula>
    </cfRule>
    <cfRule type="expression" dxfId="2821" priority="2212">
      <formula>$AF81=2</formula>
    </cfRule>
    <cfRule type="expression" dxfId="2820" priority="2213">
      <formula>$AF81=1</formula>
    </cfRule>
  </conditionalFormatting>
  <conditionalFormatting sqref="N81:N82">
    <cfRule type="expression" dxfId="2819" priority="2209">
      <formula>$AC81=2</formula>
    </cfRule>
  </conditionalFormatting>
  <conditionalFormatting sqref="N81:N82">
    <cfRule type="expression" dxfId="2818" priority="2208">
      <formula>N81&gt;F81</formula>
    </cfRule>
  </conditionalFormatting>
  <conditionalFormatting sqref="G81:G82">
    <cfRule type="expression" dxfId="2817" priority="2195">
      <formula>G81&gt;F81</formula>
    </cfRule>
  </conditionalFormatting>
  <conditionalFormatting sqref="J81:K82">
    <cfRule type="expression" dxfId="2816" priority="2199">
      <formula>$AD81=4</formula>
    </cfRule>
    <cfRule type="expression" dxfId="2815" priority="2200">
      <formula>$AD81=3</formula>
    </cfRule>
    <cfRule type="expression" dxfId="2814" priority="2201">
      <formula>$AD81=2</formula>
    </cfRule>
    <cfRule type="expression" dxfId="2813" priority="2202">
      <formula>$AD81=1</formula>
    </cfRule>
  </conditionalFormatting>
  <conditionalFormatting sqref="J81:K82">
    <cfRule type="expression" dxfId="2812" priority="2198">
      <formula>$AC81=2</formula>
    </cfRule>
  </conditionalFormatting>
  <conditionalFormatting sqref="L81:L82">
    <cfRule type="expression" dxfId="2811" priority="2197">
      <formula>$AC81=2</formula>
    </cfRule>
  </conditionalFormatting>
  <conditionalFormatting sqref="G81:G82">
    <cfRule type="expression" dxfId="2810" priority="2196">
      <formula>$AC81=2</formula>
    </cfRule>
  </conditionalFormatting>
  <conditionalFormatting sqref="O81:O82">
    <cfRule type="expression" dxfId="2809" priority="2194">
      <formula>$AC81=2</formula>
    </cfRule>
  </conditionalFormatting>
  <conditionalFormatting sqref="V81:V82">
    <cfRule type="expression" dxfId="2808" priority="2193">
      <formula>$AC81=2</formula>
    </cfRule>
  </conditionalFormatting>
  <conditionalFormatting sqref="U81:U82">
    <cfRule type="expression" dxfId="2807" priority="2192">
      <formula>$AC81=2</formula>
    </cfRule>
  </conditionalFormatting>
  <conditionalFormatting sqref="U81:U82">
    <cfRule type="expression" dxfId="2806" priority="2191">
      <formula>U81&gt;F81</formula>
    </cfRule>
  </conditionalFormatting>
  <conditionalFormatting sqref="Q84:R84">
    <cfRule type="expression" dxfId="2805" priority="2185">
      <formula>$AE84=4</formula>
    </cfRule>
    <cfRule type="expression" dxfId="2804" priority="2186">
      <formula>$AE84=3</formula>
    </cfRule>
    <cfRule type="expression" dxfId="2803" priority="2187">
      <formula>$AE84=2</formula>
    </cfRule>
    <cfRule type="expression" dxfId="2802" priority="2188">
      <formula>$AE84=1</formula>
    </cfRule>
  </conditionalFormatting>
  <conditionalFormatting sqref="X84:Y84">
    <cfRule type="expression" dxfId="2801" priority="2181">
      <formula>$AF84=4</formula>
    </cfRule>
    <cfRule type="expression" dxfId="2800" priority="2182">
      <formula>$AF84=3</formula>
    </cfRule>
    <cfRule type="expression" dxfId="2799" priority="2183">
      <formula>$AF84=2</formula>
    </cfRule>
    <cfRule type="expression" dxfId="2798" priority="2184">
      <formula>$AF84=1</formula>
    </cfRule>
  </conditionalFormatting>
  <conditionalFormatting sqref="N84">
    <cfRule type="expression" dxfId="2797" priority="2180">
      <formula>$AC84=2</formula>
    </cfRule>
  </conditionalFormatting>
  <conditionalFormatting sqref="N84 N86">
    <cfRule type="expression" dxfId="2796" priority="2179">
      <formula>N84&gt;F84</formula>
    </cfRule>
  </conditionalFormatting>
  <conditionalFormatting sqref="G84 G86">
    <cfRule type="expression" dxfId="2795" priority="2166">
      <formula>G84&gt;F84</formula>
    </cfRule>
  </conditionalFormatting>
  <conditionalFormatting sqref="J84:K84">
    <cfRule type="expression" dxfId="2794" priority="2170">
      <formula>$AD84=4</formula>
    </cfRule>
    <cfRule type="expression" dxfId="2793" priority="2171">
      <formula>$AD84=3</formula>
    </cfRule>
    <cfRule type="expression" dxfId="2792" priority="2172">
      <formula>$AD84=2</formula>
    </cfRule>
    <cfRule type="expression" dxfId="2791" priority="2173">
      <formula>$AD84=1</formula>
    </cfRule>
  </conditionalFormatting>
  <conditionalFormatting sqref="J84:K84">
    <cfRule type="expression" dxfId="2790" priority="2169">
      <formula>$AC84=2</formula>
    </cfRule>
  </conditionalFormatting>
  <conditionalFormatting sqref="L84">
    <cfRule type="expression" dxfId="2789" priority="2168">
      <formula>$AC84=2</formula>
    </cfRule>
  </conditionalFormatting>
  <conditionalFormatting sqref="G84">
    <cfRule type="expression" dxfId="2788" priority="2167">
      <formula>$AC84=2</formula>
    </cfRule>
  </conditionalFormatting>
  <conditionalFormatting sqref="O84">
    <cfRule type="expression" dxfId="2787" priority="2165">
      <formula>$AC84=2</formula>
    </cfRule>
  </conditionalFormatting>
  <conditionalFormatting sqref="V84">
    <cfRule type="expression" dxfId="2786" priority="2164">
      <formula>$AC84=2</formula>
    </cfRule>
  </conditionalFormatting>
  <conditionalFormatting sqref="U84">
    <cfRule type="expression" dxfId="2785" priority="2163">
      <formula>$AC84=2</formula>
    </cfRule>
  </conditionalFormatting>
  <conditionalFormatting sqref="U84">
    <cfRule type="expression" dxfId="2784" priority="2162">
      <formula>U84&gt;F84</formula>
    </cfRule>
  </conditionalFormatting>
  <conditionalFormatting sqref="Q88:R89">
    <cfRule type="expression" dxfId="2783" priority="2156">
      <formula>$AE88=4</formula>
    </cfRule>
    <cfRule type="expression" dxfId="2782" priority="2157">
      <formula>$AE88=3</formula>
    </cfRule>
    <cfRule type="expression" dxfId="2781" priority="2158">
      <formula>$AE88=2</formula>
    </cfRule>
    <cfRule type="expression" dxfId="2780" priority="2159">
      <formula>$AE88=1</formula>
    </cfRule>
  </conditionalFormatting>
  <conditionalFormatting sqref="X88:Y89">
    <cfRule type="expression" dxfId="2779" priority="2152">
      <formula>$AF88=4</formula>
    </cfRule>
    <cfRule type="expression" dxfId="2778" priority="2153">
      <formula>$AF88=3</formula>
    </cfRule>
    <cfRule type="expression" dxfId="2777" priority="2154">
      <formula>$AF88=2</formula>
    </cfRule>
    <cfRule type="expression" dxfId="2776" priority="2155">
      <formula>$AF88=1</formula>
    </cfRule>
  </conditionalFormatting>
  <conditionalFormatting sqref="N88:N89">
    <cfRule type="expression" dxfId="2775" priority="2151">
      <formula>$AC88=2</formula>
    </cfRule>
  </conditionalFormatting>
  <conditionalFormatting sqref="N88:N89">
    <cfRule type="expression" dxfId="2774" priority="2150">
      <formula>N88&gt;F88</formula>
    </cfRule>
  </conditionalFormatting>
  <conditionalFormatting sqref="G88:G89">
    <cfRule type="expression" dxfId="2773" priority="2137">
      <formula>G88&gt;F88</formula>
    </cfRule>
  </conditionalFormatting>
  <conditionalFormatting sqref="J88:K89">
    <cfRule type="expression" dxfId="2772" priority="2141">
      <formula>$AD88=4</formula>
    </cfRule>
    <cfRule type="expression" dxfId="2771" priority="2142">
      <formula>$AD88=3</formula>
    </cfRule>
    <cfRule type="expression" dxfId="2770" priority="2143">
      <formula>$AD88=2</formula>
    </cfRule>
    <cfRule type="expression" dxfId="2769" priority="2144">
      <formula>$AD88=1</formula>
    </cfRule>
  </conditionalFormatting>
  <conditionalFormatting sqref="J88:K89">
    <cfRule type="expression" dxfId="2768" priority="2140">
      <formula>$AC88=2</formula>
    </cfRule>
  </conditionalFormatting>
  <conditionalFormatting sqref="L88:L89">
    <cfRule type="expression" dxfId="2767" priority="2139">
      <formula>$AC88=2</formula>
    </cfRule>
  </conditionalFormatting>
  <conditionalFormatting sqref="G88:G89">
    <cfRule type="expression" dxfId="2766" priority="2138">
      <formula>$AC88=2</formula>
    </cfRule>
  </conditionalFormatting>
  <conditionalFormatting sqref="O88:O89">
    <cfRule type="expression" dxfId="2765" priority="2136">
      <formula>$AC88=2</formula>
    </cfRule>
  </conditionalFormatting>
  <conditionalFormatting sqref="V88:V89">
    <cfRule type="expression" dxfId="2764" priority="2135">
      <formula>$AC88=2</formula>
    </cfRule>
  </conditionalFormatting>
  <conditionalFormatting sqref="U88:U89">
    <cfRule type="expression" dxfId="2763" priority="2134">
      <formula>$AC88=2</formula>
    </cfRule>
  </conditionalFormatting>
  <conditionalFormatting sqref="U88:U89">
    <cfRule type="expression" dxfId="2762" priority="2133">
      <formula>U88&gt;F88</formula>
    </cfRule>
  </conditionalFormatting>
  <conditionalFormatting sqref="Q91:R91">
    <cfRule type="expression" dxfId="2761" priority="2127">
      <formula>$AE91=4</formula>
    </cfRule>
    <cfRule type="expression" dxfId="2760" priority="2128">
      <formula>$AE91=3</formula>
    </cfRule>
    <cfRule type="expression" dxfId="2759" priority="2129">
      <formula>$AE91=2</formula>
    </cfRule>
    <cfRule type="expression" dxfId="2758" priority="2130">
      <formula>$AE91=1</formula>
    </cfRule>
  </conditionalFormatting>
  <conditionalFormatting sqref="X91:Y91">
    <cfRule type="expression" dxfId="2757" priority="2123">
      <formula>$AF91=4</formula>
    </cfRule>
    <cfRule type="expression" dxfId="2756" priority="2124">
      <formula>$AF91=3</formula>
    </cfRule>
    <cfRule type="expression" dxfId="2755" priority="2125">
      <formula>$AF91=2</formula>
    </cfRule>
    <cfRule type="expression" dxfId="2754" priority="2126">
      <formula>$AF91=1</formula>
    </cfRule>
  </conditionalFormatting>
  <conditionalFormatting sqref="N91">
    <cfRule type="expression" dxfId="2753" priority="2122">
      <formula>$AC91=2</formula>
    </cfRule>
  </conditionalFormatting>
  <conditionalFormatting sqref="N91">
    <cfRule type="expression" dxfId="2752" priority="2121">
      <formula>N91&gt;F91</formula>
    </cfRule>
  </conditionalFormatting>
  <conditionalFormatting sqref="G91">
    <cfRule type="expression" dxfId="2751" priority="2108">
      <formula>G91&gt;F91</formula>
    </cfRule>
  </conditionalFormatting>
  <conditionalFormatting sqref="J91:K91">
    <cfRule type="expression" dxfId="2750" priority="2112">
      <formula>$AD91=4</formula>
    </cfRule>
    <cfRule type="expression" dxfId="2749" priority="2113">
      <formula>$AD91=3</formula>
    </cfRule>
    <cfRule type="expression" dxfId="2748" priority="2114">
      <formula>$AD91=2</formula>
    </cfRule>
    <cfRule type="expression" dxfId="2747" priority="2115">
      <formula>$AD91=1</formula>
    </cfRule>
  </conditionalFormatting>
  <conditionalFormatting sqref="J91:K91">
    <cfRule type="expression" dxfId="2746" priority="2111">
      <formula>$AC91=2</formula>
    </cfRule>
  </conditionalFormatting>
  <conditionalFormatting sqref="L91">
    <cfRule type="expression" dxfId="2745" priority="2110">
      <formula>$AC91=2</formula>
    </cfRule>
  </conditionalFormatting>
  <conditionalFormatting sqref="G91">
    <cfRule type="expression" dxfId="2744" priority="2109">
      <formula>$AC91=2</formula>
    </cfRule>
  </conditionalFormatting>
  <conditionalFormatting sqref="O91">
    <cfRule type="expression" dxfId="2743" priority="2107">
      <formula>$AC91=2</formula>
    </cfRule>
  </conditionalFormatting>
  <conditionalFormatting sqref="V91">
    <cfRule type="expression" dxfId="2742" priority="2106">
      <formula>$AC91=2</formula>
    </cfRule>
  </conditionalFormatting>
  <conditionalFormatting sqref="U91">
    <cfRule type="expression" dxfId="2741" priority="2105">
      <formula>$AC91=2</formula>
    </cfRule>
  </conditionalFormatting>
  <conditionalFormatting sqref="U91">
    <cfRule type="expression" dxfId="2740" priority="2104">
      <formula>U91&gt;F91</formula>
    </cfRule>
  </conditionalFormatting>
  <conditionalFormatting sqref="Q96:R97">
    <cfRule type="expression" dxfId="2739" priority="2098">
      <formula>$AE96=4</formula>
    </cfRule>
    <cfRule type="expression" dxfId="2738" priority="2099">
      <formula>$AE96=3</formula>
    </cfRule>
    <cfRule type="expression" dxfId="2737" priority="2100">
      <formula>$AE96=2</formula>
    </cfRule>
    <cfRule type="expression" dxfId="2736" priority="2101">
      <formula>$AE96=1</formula>
    </cfRule>
  </conditionalFormatting>
  <conditionalFormatting sqref="X96:Y97">
    <cfRule type="expression" dxfId="2735" priority="2094">
      <formula>$AF96=4</formula>
    </cfRule>
    <cfRule type="expression" dxfId="2734" priority="2095">
      <formula>$AF96=3</formula>
    </cfRule>
    <cfRule type="expression" dxfId="2733" priority="2096">
      <formula>$AF96=2</formula>
    </cfRule>
    <cfRule type="expression" dxfId="2732" priority="2097">
      <formula>$AF96=1</formula>
    </cfRule>
  </conditionalFormatting>
  <conditionalFormatting sqref="N96:N97">
    <cfRule type="expression" dxfId="2731" priority="2093">
      <formula>$AC96=2</formula>
    </cfRule>
  </conditionalFormatting>
  <conditionalFormatting sqref="N96:N97">
    <cfRule type="expression" dxfId="2730" priority="2092">
      <formula>N96&gt;F96</formula>
    </cfRule>
  </conditionalFormatting>
  <conditionalFormatting sqref="G96:G97">
    <cfRule type="expression" dxfId="2729" priority="2079">
      <formula>G96&gt;F96</formula>
    </cfRule>
  </conditionalFormatting>
  <conditionalFormatting sqref="J96:K97">
    <cfRule type="expression" dxfId="2728" priority="2083">
      <formula>$AD96=4</formula>
    </cfRule>
    <cfRule type="expression" dxfId="2727" priority="2084">
      <formula>$AD96=3</formula>
    </cfRule>
    <cfRule type="expression" dxfId="2726" priority="2085">
      <formula>$AD96=2</formula>
    </cfRule>
    <cfRule type="expression" dxfId="2725" priority="2086">
      <formula>$AD96=1</formula>
    </cfRule>
  </conditionalFormatting>
  <conditionalFormatting sqref="J96:K97">
    <cfRule type="expression" dxfId="2724" priority="2082">
      <formula>$AC96=2</formula>
    </cfRule>
  </conditionalFormatting>
  <conditionalFormatting sqref="L96:L97">
    <cfRule type="expression" dxfId="2723" priority="2081">
      <formula>$AC96=2</formula>
    </cfRule>
  </conditionalFormatting>
  <conditionalFormatting sqref="G96:G97">
    <cfRule type="expression" dxfId="2722" priority="2080">
      <formula>$AC96=2</formula>
    </cfRule>
  </conditionalFormatting>
  <conditionalFormatting sqref="O96:O97">
    <cfRule type="expression" dxfId="2721" priority="2078">
      <formula>$AC96=2</formula>
    </cfRule>
  </conditionalFormatting>
  <conditionalFormatting sqref="V96:V97">
    <cfRule type="expression" dxfId="2720" priority="2077">
      <formula>$AC96=2</formula>
    </cfRule>
  </conditionalFormatting>
  <conditionalFormatting sqref="U96:U97">
    <cfRule type="expression" dxfId="2719" priority="2076">
      <formula>$AC96=2</formula>
    </cfRule>
  </conditionalFormatting>
  <conditionalFormatting sqref="U96:U97">
    <cfRule type="expression" dxfId="2718" priority="2075">
      <formula>U96&gt;F96</formula>
    </cfRule>
  </conditionalFormatting>
  <conditionalFormatting sqref="Q100:R100">
    <cfRule type="expression" dxfId="2717" priority="2069">
      <formula>$AE100=4</formula>
    </cfRule>
    <cfRule type="expression" dxfId="2716" priority="2070">
      <formula>$AE100=3</formula>
    </cfRule>
    <cfRule type="expression" dxfId="2715" priority="2071">
      <formula>$AE100=2</formula>
    </cfRule>
    <cfRule type="expression" dxfId="2714" priority="2072">
      <formula>$AE100=1</formula>
    </cfRule>
  </conditionalFormatting>
  <conditionalFormatting sqref="X100:Y100">
    <cfRule type="expression" dxfId="2713" priority="2065">
      <formula>$AF100=4</formula>
    </cfRule>
    <cfRule type="expression" dxfId="2712" priority="2066">
      <formula>$AF100=3</formula>
    </cfRule>
    <cfRule type="expression" dxfId="2711" priority="2067">
      <formula>$AF100=2</formula>
    </cfRule>
    <cfRule type="expression" dxfId="2710" priority="2068">
      <formula>$AF100=1</formula>
    </cfRule>
  </conditionalFormatting>
  <conditionalFormatting sqref="N100">
    <cfRule type="expression" dxfId="2709" priority="2064">
      <formula>$AC100=2</formula>
    </cfRule>
  </conditionalFormatting>
  <conditionalFormatting sqref="N100">
    <cfRule type="expression" dxfId="2708" priority="2063">
      <formula>N100&gt;F100</formula>
    </cfRule>
  </conditionalFormatting>
  <conditionalFormatting sqref="G100">
    <cfRule type="expression" dxfId="2707" priority="2050">
      <formula>G100&gt;F100</formula>
    </cfRule>
  </conditionalFormatting>
  <conditionalFormatting sqref="J100:K100">
    <cfRule type="expression" dxfId="2706" priority="2054">
      <formula>$AD100=4</formula>
    </cfRule>
    <cfRule type="expression" dxfId="2705" priority="2055">
      <formula>$AD100=3</formula>
    </cfRule>
    <cfRule type="expression" dxfId="2704" priority="2056">
      <formula>$AD100=2</formula>
    </cfRule>
    <cfRule type="expression" dxfId="2703" priority="2057">
      <formula>$AD100=1</formula>
    </cfRule>
  </conditionalFormatting>
  <conditionalFormatting sqref="J100:K100">
    <cfRule type="expression" dxfId="2702" priority="2053">
      <formula>$AC100=2</formula>
    </cfRule>
  </conditionalFormatting>
  <conditionalFormatting sqref="L100">
    <cfRule type="expression" dxfId="2701" priority="2052">
      <formula>$AC100=2</formula>
    </cfRule>
  </conditionalFormatting>
  <conditionalFormatting sqref="G100">
    <cfRule type="expression" dxfId="2700" priority="2051">
      <formula>$AC100=2</formula>
    </cfRule>
  </conditionalFormatting>
  <conditionalFormatting sqref="O100">
    <cfRule type="expression" dxfId="2699" priority="2049">
      <formula>$AC100=2</formula>
    </cfRule>
  </conditionalFormatting>
  <conditionalFormatting sqref="V100">
    <cfRule type="expression" dxfId="2698" priority="2048">
      <formula>$AC100=2</formula>
    </cfRule>
  </conditionalFormatting>
  <conditionalFormatting sqref="U100">
    <cfRule type="expression" dxfId="2697" priority="2047">
      <formula>$AC100=2</formula>
    </cfRule>
  </conditionalFormatting>
  <conditionalFormatting sqref="U100">
    <cfRule type="expression" dxfId="2696" priority="2046">
      <formula>U100&gt;F100</formula>
    </cfRule>
  </conditionalFormatting>
  <conditionalFormatting sqref="Q106:R106">
    <cfRule type="expression" dxfId="2695" priority="2040">
      <formula>$AE106=4</formula>
    </cfRule>
    <cfRule type="expression" dxfId="2694" priority="2041">
      <formula>$AE106=3</formula>
    </cfRule>
    <cfRule type="expression" dxfId="2693" priority="2042">
      <formula>$AE106=2</formula>
    </cfRule>
    <cfRule type="expression" dxfId="2692" priority="2043">
      <formula>$AE106=1</formula>
    </cfRule>
  </conditionalFormatting>
  <conditionalFormatting sqref="X106:Y106">
    <cfRule type="expression" dxfId="2691" priority="2036">
      <formula>$AF106=4</formula>
    </cfRule>
    <cfRule type="expression" dxfId="2690" priority="2037">
      <formula>$AF106=3</formula>
    </cfRule>
    <cfRule type="expression" dxfId="2689" priority="2038">
      <formula>$AF106=2</formula>
    </cfRule>
    <cfRule type="expression" dxfId="2688" priority="2039">
      <formula>$AF106=1</formula>
    </cfRule>
  </conditionalFormatting>
  <conditionalFormatting sqref="J106:K106">
    <cfRule type="expression" dxfId="2687" priority="2025">
      <formula>$AD106=4</formula>
    </cfRule>
    <cfRule type="expression" dxfId="2686" priority="2026">
      <formula>$AD106=3</formula>
    </cfRule>
    <cfRule type="expression" dxfId="2685" priority="2027">
      <formula>$AD106=2</formula>
    </cfRule>
    <cfRule type="expression" dxfId="2684" priority="2028">
      <formula>$AD106=1</formula>
    </cfRule>
  </conditionalFormatting>
  <conditionalFormatting sqref="J106:K106">
    <cfRule type="expression" dxfId="2683" priority="2024">
      <formula>$AC106=2</formula>
    </cfRule>
  </conditionalFormatting>
  <conditionalFormatting sqref="L106">
    <cfRule type="expression" dxfId="2682" priority="2023">
      <formula>$AC106=2</formula>
    </cfRule>
  </conditionalFormatting>
  <conditionalFormatting sqref="O106">
    <cfRule type="expression" dxfId="2681" priority="2020">
      <formula>$AC106=2</formula>
    </cfRule>
  </conditionalFormatting>
  <conditionalFormatting sqref="V106">
    <cfRule type="expression" dxfId="2680" priority="2019">
      <formula>$AC106=2</formula>
    </cfRule>
  </conditionalFormatting>
  <conditionalFormatting sqref="Q108:R108">
    <cfRule type="expression" dxfId="2679" priority="2011">
      <formula>$AE108=4</formula>
    </cfRule>
    <cfRule type="expression" dxfId="2678" priority="2012">
      <formula>$AE108=3</formula>
    </cfRule>
    <cfRule type="expression" dxfId="2677" priority="2013">
      <formula>$AE108=2</formula>
    </cfRule>
    <cfRule type="expression" dxfId="2676" priority="2014">
      <formula>$AE108=1</formula>
    </cfRule>
  </conditionalFormatting>
  <conditionalFormatting sqref="X108:Y108">
    <cfRule type="expression" dxfId="2675" priority="2007">
      <formula>$AF108=4</formula>
    </cfRule>
    <cfRule type="expression" dxfId="2674" priority="2008">
      <formula>$AF108=3</formula>
    </cfRule>
    <cfRule type="expression" dxfId="2673" priority="2009">
      <formula>$AF108=2</formula>
    </cfRule>
    <cfRule type="expression" dxfId="2672" priority="2010">
      <formula>$AF108=1</formula>
    </cfRule>
  </conditionalFormatting>
  <conditionalFormatting sqref="N108">
    <cfRule type="expression" dxfId="2671" priority="2006">
      <formula>$AC108=2</formula>
    </cfRule>
  </conditionalFormatting>
  <conditionalFormatting sqref="N108">
    <cfRule type="expression" dxfId="2670" priority="2005">
      <formula>N108&gt;F108</formula>
    </cfRule>
  </conditionalFormatting>
  <conditionalFormatting sqref="G108">
    <cfRule type="expression" dxfId="2669" priority="1992">
      <formula>G108&gt;F108</formula>
    </cfRule>
  </conditionalFormatting>
  <conditionalFormatting sqref="J108:K108">
    <cfRule type="expression" dxfId="2668" priority="1996">
      <formula>$AD108=4</formula>
    </cfRule>
    <cfRule type="expression" dxfId="2667" priority="1997">
      <formula>$AD108=3</formula>
    </cfRule>
    <cfRule type="expression" dxfId="2666" priority="1998">
      <formula>$AD108=2</formula>
    </cfRule>
    <cfRule type="expression" dxfId="2665" priority="1999">
      <formula>$AD108=1</formula>
    </cfRule>
  </conditionalFormatting>
  <conditionalFormatting sqref="J108:K108">
    <cfRule type="expression" dxfId="2664" priority="1995">
      <formula>$AC108=2</formula>
    </cfRule>
  </conditionalFormatting>
  <conditionalFormatting sqref="L108">
    <cfRule type="expression" dxfId="2663" priority="1994">
      <formula>$AC108=2</formula>
    </cfRule>
  </conditionalFormatting>
  <conditionalFormatting sqref="G108">
    <cfRule type="expression" dxfId="2662" priority="1993">
      <formula>$AC108=2</formula>
    </cfRule>
  </conditionalFormatting>
  <conditionalFormatting sqref="O108">
    <cfRule type="expression" dxfId="2661" priority="1991">
      <formula>$AC108=2</formula>
    </cfRule>
  </conditionalFormatting>
  <conditionalFormatting sqref="V108">
    <cfRule type="expression" dxfId="2660" priority="1990">
      <formula>$AC108=2</formula>
    </cfRule>
  </conditionalFormatting>
  <conditionalFormatting sqref="U108">
    <cfRule type="expression" dxfId="2659" priority="1989">
      <formula>$AC108=2</formula>
    </cfRule>
  </conditionalFormatting>
  <conditionalFormatting sqref="U108">
    <cfRule type="expression" dxfId="2658" priority="1988">
      <formula>U108&gt;F108</formula>
    </cfRule>
  </conditionalFormatting>
  <conditionalFormatting sqref="Q110:R112">
    <cfRule type="expression" dxfId="2657" priority="1982">
      <formula>$AE110=4</formula>
    </cfRule>
    <cfRule type="expression" dxfId="2656" priority="1983">
      <formula>$AE110=3</formula>
    </cfRule>
    <cfRule type="expression" dxfId="2655" priority="1984">
      <formula>$AE110=2</formula>
    </cfRule>
    <cfRule type="expression" dxfId="2654" priority="1985">
      <formula>$AE110=1</formula>
    </cfRule>
  </conditionalFormatting>
  <conditionalFormatting sqref="X110:Y112">
    <cfRule type="expression" dxfId="2653" priority="1978">
      <formula>$AF110=4</formula>
    </cfRule>
    <cfRule type="expression" dxfId="2652" priority="1979">
      <formula>$AF110=3</formula>
    </cfRule>
    <cfRule type="expression" dxfId="2651" priority="1980">
      <formula>$AF110=2</formula>
    </cfRule>
    <cfRule type="expression" dxfId="2650" priority="1981">
      <formula>$AF110=1</formula>
    </cfRule>
  </conditionalFormatting>
  <conditionalFormatting sqref="N110:N112">
    <cfRule type="expression" dxfId="2649" priority="1977">
      <formula>$AC110=2</formula>
    </cfRule>
  </conditionalFormatting>
  <conditionalFormatting sqref="N110:N112">
    <cfRule type="expression" dxfId="2648" priority="1976">
      <formula>N110&gt;F110</formula>
    </cfRule>
  </conditionalFormatting>
  <conditionalFormatting sqref="G110:G112">
    <cfRule type="expression" dxfId="2647" priority="1963">
      <formula>G110&gt;F110</formula>
    </cfRule>
  </conditionalFormatting>
  <conditionalFormatting sqref="J110:K112">
    <cfRule type="expression" dxfId="2646" priority="1967">
      <formula>$AD110=4</formula>
    </cfRule>
    <cfRule type="expression" dxfId="2645" priority="1968">
      <formula>$AD110=3</formula>
    </cfRule>
    <cfRule type="expression" dxfId="2644" priority="1969">
      <formula>$AD110=2</formula>
    </cfRule>
    <cfRule type="expression" dxfId="2643" priority="1970">
      <formula>$AD110=1</formula>
    </cfRule>
  </conditionalFormatting>
  <conditionalFormatting sqref="J110:K112">
    <cfRule type="expression" dxfId="2642" priority="1966">
      <formula>$AC110=2</formula>
    </cfRule>
  </conditionalFormatting>
  <conditionalFormatting sqref="L110:L112">
    <cfRule type="expression" dxfId="2641" priority="1965">
      <formula>$AC110=2</formula>
    </cfRule>
  </conditionalFormatting>
  <conditionalFormatting sqref="G110:G112">
    <cfRule type="expression" dxfId="2640" priority="1964">
      <formula>$AC110=2</formula>
    </cfRule>
  </conditionalFormatting>
  <conditionalFormatting sqref="O110:O112">
    <cfRule type="expression" dxfId="2639" priority="1962">
      <formula>$AC110=2</formula>
    </cfRule>
  </conditionalFormatting>
  <conditionalFormatting sqref="V110:V112">
    <cfRule type="expression" dxfId="2638" priority="1961">
      <formula>$AC110=2</formula>
    </cfRule>
  </conditionalFormatting>
  <conditionalFormatting sqref="U110:U112">
    <cfRule type="expression" dxfId="2637" priority="1960">
      <formula>$AC110=2</formula>
    </cfRule>
  </conditionalFormatting>
  <conditionalFormatting sqref="U110:U112">
    <cfRule type="expression" dxfId="2636" priority="1959">
      <formula>U110&gt;F110</formula>
    </cfRule>
  </conditionalFormatting>
  <conditionalFormatting sqref="Q114:R114">
    <cfRule type="expression" dxfId="2635" priority="1953">
      <formula>$AE114=4</formula>
    </cfRule>
    <cfRule type="expression" dxfId="2634" priority="1954">
      <formula>$AE114=3</formula>
    </cfRule>
    <cfRule type="expression" dxfId="2633" priority="1955">
      <formula>$AE114=2</formula>
    </cfRule>
    <cfRule type="expression" dxfId="2632" priority="1956">
      <formula>$AE114=1</formula>
    </cfRule>
  </conditionalFormatting>
  <conditionalFormatting sqref="X114:Y114">
    <cfRule type="expression" dxfId="2631" priority="1949">
      <formula>$AF114=4</formula>
    </cfRule>
    <cfRule type="expression" dxfId="2630" priority="1950">
      <formula>$AF114=3</formula>
    </cfRule>
    <cfRule type="expression" dxfId="2629" priority="1951">
      <formula>$AF114=2</formula>
    </cfRule>
    <cfRule type="expression" dxfId="2628" priority="1952">
      <formula>$AF114=1</formula>
    </cfRule>
  </conditionalFormatting>
  <conditionalFormatting sqref="N114">
    <cfRule type="expression" dxfId="2627" priority="1948">
      <formula>$AC114=2</formula>
    </cfRule>
  </conditionalFormatting>
  <conditionalFormatting sqref="N114">
    <cfRule type="expression" dxfId="2626" priority="1947">
      <formula>N114&gt;F114</formula>
    </cfRule>
  </conditionalFormatting>
  <conditionalFormatting sqref="G114">
    <cfRule type="expression" dxfId="2625" priority="1934">
      <formula>G114&gt;F114</formula>
    </cfRule>
  </conditionalFormatting>
  <conditionalFormatting sqref="J114:K114">
    <cfRule type="expression" dxfId="2624" priority="1938">
      <formula>$AD114=4</formula>
    </cfRule>
    <cfRule type="expression" dxfId="2623" priority="1939">
      <formula>$AD114=3</formula>
    </cfRule>
    <cfRule type="expression" dxfId="2622" priority="1940">
      <formula>$AD114=2</formula>
    </cfRule>
    <cfRule type="expression" dxfId="2621" priority="1941">
      <formula>$AD114=1</formula>
    </cfRule>
  </conditionalFormatting>
  <conditionalFormatting sqref="J114:K114">
    <cfRule type="expression" dxfId="2620" priority="1937">
      <formula>$AC114=2</formula>
    </cfRule>
  </conditionalFormatting>
  <conditionalFormatting sqref="L114">
    <cfRule type="expression" dxfId="2619" priority="1936">
      <formula>$AC114=2</formula>
    </cfRule>
  </conditionalFormatting>
  <conditionalFormatting sqref="G114">
    <cfRule type="expression" dxfId="2618" priority="1935">
      <formula>$AC114=2</formula>
    </cfRule>
  </conditionalFormatting>
  <conditionalFormatting sqref="O114">
    <cfRule type="expression" dxfId="2617" priority="1933">
      <formula>$AC114=2</formula>
    </cfRule>
  </conditionalFormatting>
  <conditionalFormatting sqref="V114">
    <cfRule type="expression" dxfId="2616" priority="1932">
      <formula>$AC114=2</formula>
    </cfRule>
  </conditionalFormatting>
  <conditionalFormatting sqref="U114">
    <cfRule type="expression" dxfId="2615" priority="1931">
      <formula>$AC114=2</formula>
    </cfRule>
  </conditionalFormatting>
  <conditionalFormatting sqref="U114">
    <cfRule type="expression" dxfId="2614" priority="1930">
      <formula>U114&gt;F114</formula>
    </cfRule>
  </conditionalFormatting>
  <conditionalFormatting sqref="Q119:R120">
    <cfRule type="expression" dxfId="2613" priority="1924">
      <formula>$AE119=4</formula>
    </cfRule>
    <cfRule type="expression" dxfId="2612" priority="1925">
      <formula>$AE119=3</formula>
    </cfRule>
    <cfRule type="expression" dxfId="2611" priority="1926">
      <formula>$AE119=2</formula>
    </cfRule>
    <cfRule type="expression" dxfId="2610" priority="1927">
      <formula>$AE119=1</formula>
    </cfRule>
  </conditionalFormatting>
  <conditionalFormatting sqref="X119:Y120">
    <cfRule type="expression" dxfId="2609" priority="1920">
      <formula>$AF119=4</formula>
    </cfRule>
    <cfRule type="expression" dxfId="2608" priority="1921">
      <formula>$AF119=3</formula>
    </cfRule>
    <cfRule type="expression" dxfId="2607" priority="1922">
      <formula>$AF119=2</formula>
    </cfRule>
    <cfRule type="expression" dxfId="2606" priority="1923">
      <formula>$AF119=1</formula>
    </cfRule>
  </conditionalFormatting>
  <conditionalFormatting sqref="N120">
    <cfRule type="expression" dxfId="2605" priority="1919">
      <formula>$AC120=2</formula>
    </cfRule>
  </conditionalFormatting>
  <conditionalFormatting sqref="N120">
    <cfRule type="expression" dxfId="2604" priority="1918">
      <formula>N120&gt;F120</formula>
    </cfRule>
  </conditionalFormatting>
  <conditionalFormatting sqref="G120">
    <cfRule type="expression" dxfId="2603" priority="1905">
      <formula>G120&gt;F120</formula>
    </cfRule>
  </conditionalFormatting>
  <conditionalFormatting sqref="J119:K120">
    <cfRule type="expression" dxfId="2602" priority="1909">
      <formula>$AD119=4</formula>
    </cfRule>
    <cfRule type="expression" dxfId="2601" priority="1910">
      <formula>$AD119=3</formula>
    </cfRule>
    <cfRule type="expression" dxfId="2600" priority="1911">
      <formula>$AD119=2</formula>
    </cfRule>
    <cfRule type="expression" dxfId="2599" priority="1912">
      <formula>$AD119=1</formula>
    </cfRule>
  </conditionalFormatting>
  <conditionalFormatting sqref="J119:K120">
    <cfRule type="expression" dxfId="2598" priority="1908">
      <formula>$AC119=2</formula>
    </cfRule>
  </conditionalFormatting>
  <conditionalFormatting sqref="L119:L120">
    <cfRule type="expression" dxfId="2597" priority="1907">
      <formula>$AC119=2</formula>
    </cfRule>
  </conditionalFormatting>
  <conditionalFormatting sqref="G120">
    <cfRule type="expression" dxfId="2596" priority="1906">
      <formula>$AC120=2</formula>
    </cfRule>
  </conditionalFormatting>
  <conditionalFormatting sqref="O119:O120">
    <cfRule type="expression" dxfId="2595" priority="1904">
      <formula>$AC119=2</formula>
    </cfRule>
  </conditionalFormatting>
  <conditionalFormatting sqref="V119:V120">
    <cfRule type="expression" dxfId="2594" priority="1903">
      <formula>$AC119=2</formula>
    </cfRule>
  </conditionalFormatting>
  <conditionalFormatting sqref="U120">
    <cfRule type="expression" dxfId="2593" priority="1902">
      <formula>$AC120=2</formula>
    </cfRule>
  </conditionalFormatting>
  <conditionalFormatting sqref="U120">
    <cfRule type="expression" dxfId="2592" priority="1901">
      <formula>U120&gt;F120</formula>
    </cfRule>
  </conditionalFormatting>
  <conditionalFormatting sqref="Q121:R121">
    <cfRule type="expression" dxfId="2591" priority="1895">
      <formula>$AE121=4</formula>
    </cfRule>
    <cfRule type="expression" dxfId="2590" priority="1896">
      <formula>$AE121=3</formula>
    </cfRule>
    <cfRule type="expression" dxfId="2589" priority="1897">
      <formula>$AE121=2</formula>
    </cfRule>
    <cfRule type="expression" dxfId="2588" priority="1898">
      <formula>$AE121=1</formula>
    </cfRule>
  </conditionalFormatting>
  <conditionalFormatting sqref="X121:Y121">
    <cfRule type="expression" dxfId="2587" priority="1891">
      <formula>$AF121=4</formula>
    </cfRule>
    <cfRule type="expression" dxfId="2586" priority="1892">
      <formula>$AF121=3</formula>
    </cfRule>
    <cfRule type="expression" dxfId="2585" priority="1893">
      <formula>$AF121=2</formula>
    </cfRule>
    <cfRule type="expression" dxfId="2584" priority="1894">
      <formula>$AF121=1</formula>
    </cfRule>
  </conditionalFormatting>
  <conditionalFormatting sqref="N121">
    <cfRule type="expression" dxfId="2583" priority="1890">
      <formula>$AC121=2</formula>
    </cfRule>
  </conditionalFormatting>
  <conditionalFormatting sqref="N121">
    <cfRule type="expression" dxfId="2582" priority="1889">
      <formula>N121&gt;F121</formula>
    </cfRule>
  </conditionalFormatting>
  <conditionalFormatting sqref="G121">
    <cfRule type="expression" dxfId="2581" priority="1876">
      <formula>G121&gt;F121</formula>
    </cfRule>
  </conditionalFormatting>
  <conditionalFormatting sqref="J121:K121">
    <cfRule type="expression" dxfId="2580" priority="1880">
      <formula>$AD121=4</formula>
    </cfRule>
    <cfRule type="expression" dxfId="2579" priority="1881">
      <formula>$AD121=3</formula>
    </cfRule>
    <cfRule type="expression" dxfId="2578" priority="1882">
      <formula>$AD121=2</formula>
    </cfRule>
    <cfRule type="expression" dxfId="2577" priority="1883">
      <formula>$AD121=1</formula>
    </cfRule>
  </conditionalFormatting>
  <conditionalFormatting sqref="J121:K121">
    <cfRule type="expression" dxfId="2576" priority="1879">
      <formula>$AC121=2</formula>
    </cfRule>
  </conditionalFormatting>
  <conditionalFormatting sqref="L121">
    <cfRule type="expression" dxfId="2575" priority="1878">
      <formula>$AC121=2</formula>
    </cfRule>
  </conditionalFormatting>
  <conditionalFormatting sqref="G121">
    <cfRule type="expression" dxfId="2574" priority="1877">
      <formula>$AC121=2</formula>
    </cfRule>
  </conditionalFormatting>
  <conditionalFormatting sqref="O121">
    <cfRule type="expression" dxfId="2573" priority="1875">
      <formula>$AC121=2</formula>
    </cfRule>
  </conditionalFormatting>
  <conditionalFormatting sqref="V121">
    <cfRule type="expression" dxfId="2572" priority="1874">
      <formula>$AC121=2</formula>
    </cfRule>
  </conditionalFormatting>
  <conditionalFormatting sqref="U121">
    <cfRule type="expression" dxfId="2571" priority="1873">
      <formula>$AC121=2</formula>
    </cfRule>
  </conditionalFormatting>
  <conditionalFormatting sqref="U121">
    <cfRule type="expression" dxfId="2570" priority="1872">
      <formula>U121&gt;F121</formula>
    </cfRule>
  </conditionalFormatting>
  <conditionalFormatting sqref="Q123:R125">
    <cfRule type="expression" dxfId="2569" priority="1866">
      <formula>$AE123=4</formula>
    </cfRule>
    <cfRule type="expression" dxfId="2568" priority="1867">
      <formula>$AE123=3</formula>
    </cfRule>
    <cfRule type="expression" dxfId="2567" priority="1868">
      <formula>$AE123=2</formula>
    </cfRule>
    <cfRule type="expression" dxfId="2566" priority="1869">
      <formula>$AE123=1</formula>
    </cfRule>
  </conditionalFormatting>
  <conditionalFormatting sqref="X123:Y125">
    <cfRule type="expression" dxfId="2565" priority="1862">
      <formula>$AF123=4</formula>
    </cfRule>
    <cfRule type="expression" dxfId="2564" priority="1863">
      <formula>$AF123=3</formula>
    </cfRule>
    <cfRule type="expression" dxfId="2563" priority="1864">
      <formula>$AF123=2</formula>
    </cfRule>
    <cfRule type="expression" dxfId="2562" priority="1865">
      <formula>$AF123=1</formula>
    </cfRule>
  </conditionalFormatting>
  <conditionalFormatting sqref="N124:N125">
    <cfRule type="expression" dxfId="2561" priority="1861">
      <formula>$AC124=2</formula>
    </cfRule>
  </conditionalFormatting>
  <conditionalFormatting sqref="N124:N125">
    <cfRule type="expression" dxfId="2560" priority="1860">
      <formula>N124&gt;F124</formula>
    </cfRule>
  </conditionalFormatting>
  <conditionalFormatting sqref="G124:G125">
    <cfRule type="expression" dxfId="2559" priority="1847">
      <formula>G124&gt;F124</formula>
    </cfRule>
  </conditionalFormatting>
  <conditionalFormatting sqref="J123:K125">
    <cfRule type="expression" dxfId="2558" priority="1851">
      <formula>$AD123=4</formula>
    </cfRule>
    <cfRule type="expression" dxfId="2557" priority="1852">
      <formula>$AD123=3</formula>
    </cfRule>
    <cfRule type="expression" dxfId="2556" priority="1853">
      <formula>$AD123=2</formula>
    </cfRule>
    <cfRule type="expression" dxfId="2555" priority="1854">
      <formula>$AD123=1</formula>
    </cfRule>
  </conditionalFormatting>
  <conditionalFormatting sqref="J123:K125">
    <cfRule type="expression" dxfId="2554" priority="1850">
      <formula>$AC123=2</formula>
    </cfRule>
  </conditionalFormatting>
  <conditionalFormatting sqref="L123:L125">
    <cfRule type="expression" dxfId="2553" priority="1849">
      <formula>$AC123=2</formula>
    </cfRule>
  </conditionalFormatting>
  <conditionalFormatting sqref="G124:G125">
    <cfRule type="expression" dxfId="2552" priority="1848">
      <formula>$AC124=2</formula>
    </cfRule>
  </conditionalFormatting>
  <conditionalFormatting sqref="O123:O125">
    <cfRule type="expression" dxfId="2551" priority="1846">
      <formula>$AC123=2</formula>
    </cfRule>
  </conditionalFormatting>
  <conditionalFormatting sqref="V123:V125">
    <cfRule type="expression" dxfId="2550" priority="1845">
      <formula>$AC123=2</formula>
    </cfRule>
  </conditionalFormatting>
  <conditionalFormatting sqref="U124:U125">
    <cfRule type="expression" dxfId="2549" priority="1844">
      <formula>$AC124=2</formula>
    </cfRule>
  </conditionalFormatting>
  <conditionalFormatting sqref="U124:U125">
    <cfRule type="expression" dxfId="2548" priority="1843">
      <formula>U124&gt;F124</formula>
    </cfRule>
  </conditionalFormatting>
  <conditionalFormatting sqref="Q127:R129">
    <cfRule type="expression" dxfId="2547" priority="1837">
      <formula>$AE127=4</formula>
    </cfRule>
    <cfRule type="expression" dxfId="2546" priority="1838">
      <formula>$AE127=3</formula>
    </cfRule>
    <cfRule type="expression" dxfId="2545" priority="1839">
      <formula>$AE127=2</formula>
    </cfRule>
    <cfRule type="expression" dxfId="2544" priority="1840">
      <formula>$AE127=1</formula>
    </cfRule>
  </conditionalFormatting>
  <conditionalFormatting sqref="X127:Y129">
    <cfRule type="expression" dxfId="2543" priority="1833">
      <formula>$AF127=4</formula>
    </cfRule>
    <cfRule type="expression" dxfId="2542" priority="1834">
      <formula>$AF127=3</formula>
    </cfRule>
    <cfRule type="expression" dxfId="2541" priority="1835">
      <formula>$AF127=2</formula>
    </cfRule>
    <cfRule type="expression" dxfId="2540" priority="1836">
      <formula>$AF127=1</formula>
    </cfRule>
  </conditionalFormatting>
  <conditionalFormatting sqref="N128:N129">
    <cfRule type="expression" dxfId="2539" priority="1832">
      <formula>$AC128=2</formula>
    </cfRule>
  </conditionalFormatting>
  <conditionalFormatting sqref="N128:N129">
    <cfRule type="expression" dxfId="2538" priority="1831">
      <formula>N128&gt;F128</formula>
    </cfRule>
  </conditionalFormatting>
  <conditionalFormatting sqref="G128:G129">
    <cfRule type="expression" dxfId="2537" priority="1818">
      <formula>G128&gt;F128</formula>
    </cfRule>
  </conditionalFormatting>
  <conditionalFormatting sqref="J127:K129">
    <cfRule type="expression" dxfId="2536" priority="1822">
      <formula>$AD127=4</formula>
    </cfRule>
    <cfRule type="expression" dxfId="2535" priority="1823">
      <formula>$AD127=3</formula>
    </cfRule>
    <cfRule type="expression" dxfId="2534" priority="1824">
      <formula>$AD127=2</formula>
    </cfRule>
    <cfRule type="expression" dxfId="2533" priority="1825">
      <formula>$AD127=1</formula>
    </cfRule>
  </conditionalFormatting>
  <conditionalFormatting sqref="J127:K129">
    <cfRule type="expression" dxfId="2532" priority="1821">
      <formula>$AC127=2</formula>
    </cfRule>
  </conditionalFormatting>
  <conditionalFormatting sqref="L127:L129">
    <cfRule type="expression" dxfId="2531" priority="1820">
      <formula>$AC127=2</formula>
    </cfRule>
  </conditionalFormatting>
  <conditionalFormatting sqref="G128:G129">
    <cfRule type="expression" dxfId="2530" priority="1819">
      <formula>$AC128=2</formula>
    </cfRule>
  </conditionalFormatting>
  <conditionalFormatting sqref="O127:O129">
    <cfRule type="expression" dxfId="2529" priority="1817">
      <formula>$AC127=2</formula>
    </cfRule>
  </conditionalFormatting>
  <conditionalFormatting sqref="V127:V129">
    <cfRule type="expression" dxfId="2528" priority="1816">
      <formula>$AC127=2</formula>
    </cfRule>
  </conditionalFormatting>
  <conditionalFormatting sqref="U128:U129">
    <cfRule type="expression" dxfId="2527" priority="1815">
      <formula>$AC128=2</formula>
    </cfRule>
  </conditionalFormatting>
  <conditionalFormatting sqref="U128:U129">
    <cfRule type="expression" dxfId="2526" priority="1814">
      <formula>U128&gt;F128</formula>
    </cfRule>
  </conditionalFormatting>
  <conditionalFormatting sqref="Q131:R134">
    <cfRule type="expression" dxfId="2525" priority="1808">
      <formula>$AE131=4</formula>
    </cfRule>
    <cfRule type="expression" dxfId="2524" priority="1809">
      <formula>$AE131=3</formula>
    </cfRule>
    <cfRule type="expression" dxfId="2523" priority="1810">
      <formula>$AE131=2</formula>
    </cfRule>
    <cfRule type="expression" dxfId="2522" priority="1811">
      <formula>$AE131=1</formula>
    </cfRule>
  </conditionalFormatting>
  <conditionalFormatting sqref="X131:Y134">
    <cfRule type="expression" dxfId="2521" priority="1804">
      <formula>$AF131=4</formula>
    </cfRule>
    <cfRule type="expression" dxfId="2520" priority="1805">
      <formula>$AF131=3</formula>
    </cfRule>
    <cfRule type="expression" dxfId="2519" priority="1806">
      <formula>$AF131=2</formula>
    </cfRule>
    <cfRule type="expression" dxfId="2518" priority="1807">
      <formula>$AF131=1</formula>
    </cfRule>
  </conditionalFormatting>
  <conditionalFormatting sqref="N132:N134">
    <cfRule type="expression" dxfId="2517" priority="1803">
      <formula>$AC132=2</formula>
    </cfRule>
  </conditionalFormatting>
  <conditionalFormatting sqref="N132:N134">
    <cfRule type="expression" dxfId="2516" priority="1802">
      <formula>N132&gt;F132</formula>
    </cfRule>
  </conditionalFormatting>
  <conditionalFormatting sqref="G132:G134">
    <cfRule type="expression" dxfId="2515" priority="1789">
      <formula>G132&gt;F132</formula>
    </cfRule>
  </conditionalFormatting>
  <conditionalFormatting sqref="J131:K132">
    <cfRule type="expression" dxfId="2514" priority="1793">
      <formula>$AD131=4</formula>
    </cfRule>
    <cfRule type="expression" dxfId="2513" priority="1794">
      <formula>$AD131=3</formula>
    </cfRule>
    <cfRule type="expression" dxfId="2512" priority="1795">
      <formula>$AD131=2</formula>
    </cfRule>
    <cfRule type="expression" dxfId="2511" priority="1796">
      <formula>$AD131=1</formula>
    </cfRule>
  </conditionalFormatting>
  <conditionalFormatting sqref="J131:K132">
    <cfRule type="expression" dxfId="2510" priority="1792">
      <formula>$AC131=2</formula>
    </cfRule>
  </conditionalFormatting>
  <conditionalFormatting sqref="L131:L134">
    <cfRule type="expression" dxfId="2509" priority="1791">
      <formula>$AC131=2</formula>
    </cfRule>
  </conditionalFormatting>
  <conditionalFormatting sqref="G132:G134">
    <cfRule type="expression" dxfId="2508" priority="1790">
      <formula>$AC132=2</formula>
    </cfRule>
  </conditionalFormatting>
  <conditionalFormatting sqref="O131:O134">
    <cfRule type="expression" dxfId="2507" priority="1788">
      <formula>$AC131=2</formula>
    </cfRule>
  </conditionalFormatting>
  <conditionalFormatting sqref="V131:V134">
    <cfRule type="expression" dxfId="2506" priority="1787">
      <formula>$AC131=2</formula>
    </cfRule>
  </conditionalFormatting>
  <conditionalFormatting sqref="U132:U134">
    <cfRule type="expression" dxfId="2505" priority="1786">
      <formula>$AC132=2</formula>
    </cfRule>
  </conditionalFormatting>
  <conditionalFormatting sqref="U132:U134">
    <cfRule type="expression" dxfId="2504" priority="1785">
      <formula>U132&gt;F132</formula>
    </cfRule>
  </conditionalFormatting>
  <conditionalFormatting sqref="Q138:R140">
    <cfRule type="expression" dxfId="2503" priority="1779">
      <formula>$AE138=4</formula>
    </cfRule>
    <cfRule type="expression" dxfId="2502" priority="1780">
      <formula>$AE138=3</formula>
    </cfRule>
    <cfRule type="expression" dxfId="2501" priority="1781">
      <formula>$AE138=2</formula>
    </cfRule>
    <cfRule type="expression" dxfId="2500" priority="1782">
      <formula>$AE138=1</formula>
    </cfRule>
  </conditionalFormatting>
  <conditionalFormatting sqref="X138:Y140">
    <cfRule type="expression" dxfId="2499" priority="1775">
      <formula>$AF138=4</formula>
    </cfRule>
    <cfRule type="expression" dxfId="2498" priority="1776">
      <formula>$AF138=3</formula>
    </cfRule>
    <cfRule type="expression" dxfId="2497" priority="1777">
      <formula>$AF138=2</formula>
    </cfRule>
    <cfRule type="expression" dxfId="2496" priority="1778">
      <formula>$AF138=1</formula>
    </cfRule>
  </conditionalFormatting>
  <conditionalFormatting sqref="N138:N140">
    <cfRule type="expression" dxfId="2495" priority="1774">
      <formula>$AC138=2</formula>
    </cfRule>
  </conditionalFormatting>
  <conditionalFormatting sqref="N138:N140">
    <cfRule type="expression" dxfId="2494" priority="1773">
      <formula>N138&gt;F138</formula>
    </cfRule>
  </conditionalFormatting>
  <conditionalFormatting sqref="G138:G140">
    <cfRule type="expression" dxfId="2493" priority="1760">
      <formula>G138&gt;F138</formula>
    </cfRule>
  </conditionalFormatting>
  <conditionalFormatting sqref="J138:K140">
    <cfRule type="expression" dxfId="2492" priority="1764">
      <formula>$AD138=4</formula>
    </cfRule>
    <cfRule type="expression" dxfId="2491" priority="1765">
      <formula>$AD138=3</formula>
    </cfRule>
    <cfRule type="expression" dxfId="2490" priority="1766">
      <formula>$AD138=2</formula>
    </cfRule>
    <cfRule type="expression" dxfId="2489" priority="1767">
      <formula>$AD138=1</formula>
    </cfRule>
  </conditionalFormatting>
  <conditionalFormatting sqref="J138:K140">
    <cfRule type="expression" dxfId="2488" priority="1763">
      <formula>$AC138=2</formula>
    </cfRule>
  </conditionalFormatting>
  <conditionalFormatting sqref="L138:L140">
    <cfRule type="expression" dxfId="2487" priority="1762">
      <formula>$AC138=2</formula>
    </cfRule>
  </conditionalFormatting>
  <conditionalFormatting sqref="G138:G140">
    <cfRule type="expression" dxfId="2486" priority="1761">
      <formula>$AC138=2</formula>
    </cfRule>
  </conditionalFormatting>
  <conditionalFormatting sqref="O138:O140">
    <cfRule type="expression" dxfId="2485" priority="1759">
      <formula>$AC138=2</formula>
    </cfRule>
  </conditionalFormatting>
  <conditionalFormatting sqref="V138:V140">
    <cfRule type="expression" dxfId="2484" priority="1758">
      <formula>$AC138=2</formula>
    </cfRule>
  </conditionalFormatting>
  <conditionalFormatting sqref="U138:U140">
    <cfRule type="expression" dxfId="2483" priority="1757">
      <formula>$AC138=2</formula>
    </cfRule>
  </conditionalFormatting>
  <conditionalFormatting sqref="U138:U140">
    <cfRule type="expression" dxfId="2482" priority="1756">
      <formula>U138&gt;F138</formula>
    </cfRule>
  </conditionalFormatting>
  <conditionalFormatting sqref="Q142:R144">
    <cfRule type="expression" dxfId="2481" priority="1750">
      <formula>$AE142=4</formula>
    </cfRule>
    <cfRule type="expression" dxfId="2480" priority="1751">
      <formula>$AE142=3</formula>
    </cfRule>
    <cfRule type="expression" dxfId="2479" priority="1752">
      <formula>$AE142=2</formula>
    </cfRule>
    <cfRule type="expression" dxfId="2478" priority="1753">
      <formula>$AE142=1</formula>
    </cfRule>
  </conditionalFormatting>
  <conditionalFormatting sqref="X142:Y144">
    <cfRule type="expression" dxfId="2477" priority="1746">
      <formula>$AF142=4</formula>
    </cfRule>
    <cfRule type="expression" dxfId="2476" priority="1747">
      <formula>$AF142=3</formula>
    </cfRule>
    <cfRule type="expression" dxfId="2475" priority="1748">
      <formula>$AF142=2</formula>
    </cfRule>
    <cfRule type="expression" dxfId="2474" priority="1749">
      <formula>$AF142=1</formula>
    </cfRule>
  </conditionalFormatting>
  <conditionalFormatting sqref="N142:N144">
    <cfRule type="expression" dxfId="2473" priority="1745">
      <formula>$AC142=2</formula>
    </cfRule>
  </conditionalFormatting>
  <conditionalFormatting sqref="N142:N144">
    <cfRule type="expression" dxfId="2472" priority="1744">
      <formula>N142&gt;F142</formula>
    </cfRule>
  </conditionalFormatting>
  <conditionalFormatting sqref="G142:G144">
    <cfRule type="expression" dxfId="2471" priority="1731">
      <formula>G142&gt;F142</formula>
    </cfRule>
  </conditionalFormatting>
  <conditionalFormatting sqref="J142:K144">
    <cfRule type="expression" dxfId="2470" priority="1735">
      <formula>$AD142=4</formula>
    </cfRule>
    <cfRule type="expression" dxfId="2469" priority="1736">
      <formula>$AD142=3</formula>
    </cfRule>
    <cfRule type="expression" dxfId="2468" priority="1737">
      <formula>$AD142=2</formula>
    </cfRule>
    <cfRule type="expression" dxfId="2467" priority="1738">
      <formula>$AD142=1</formula>
    </cfRule>
  </conditionalFormatting>
  <conditionalFormatting sqref="J142:K144">
    <cfRule type="expression" dxfId="2466" priority="1734">
      <formula>$AC142=2</formula>
    </cfRule>
  </conditionalFormatting>
  <conditionalFormatting sqref="L142:L144">
    <cfRule type="expression" dxfId="2465" priority="1733">
      <formula>$AC142=2</formula>
    </cfRule>
  </conditionalFormatting>
  <conditionalFormatting sqref="G142:G144">
    <cfRule type="expression" dxfId="2464" priority="1732">
      <formula>$AC142=2</formula>
    </cfRule>
  </conditionalFormatting>
  <conditionalFormatting sqref="O142:O144">
    <cfRule type="expression" dxfId="2463" priority="1730">
      <formula>$AC142=2</formula>
    </cfRule>
  </conditionalFormatting>
  <conditionalFormatting sqref="V142:V144">
    <cfRule type="expression" dxfId="2462" priority="1729">
      <formula>$AC142=2</formula>
    </cfRule>
  </conditionalFormatting>
  <conditionalFormatting sqref="U142:U144">
    <cfRule type="expression" dxfId="2461" priority="1728">
      <formula>$AC142=2</formula>
    </cfRule>
  </conditionalFormatting>
  <conditionalFormatting sqref="U142:U144">
    <cfRule type="expression" dxfId="2460" priority="1727">
      <formula>U142&gt;F142</formula>
    </cfRule>
  </conditionalFormatting>
  <conditionalFormatting sqref="Q150:R152">
    <cfRule type="expression" dxfId="2459" priority="1721">
      <formula>$AE150=4</formula>
    </cfRule>
    <cfRule type="expression" dxfId="2458" priority="1722">
      <formula>$AE150=3</formula>
    </cfRule>
    <cfRule type="expression" dxfId="2457" priority="1723">
      <formula>$AE150=2</formula>
    </cfRule>
    <cfRule type="expression" dxfId="2456" priority="1724">
      <formula>$AE150=1</formula>
    </cfRule>
  </conditionalFormatting>
  <conditionalFormatting sqref="X150:Y152">
    <cfRule type="expression" dxfId="2455" priority="1717">
      <formula>$AF150=4</formula>
    </cfRule>
    <cfRule type="expression" dxfId="2454" priority="1718">
      <formula>$AF150=3</formula>
    </cfRule>
    <cfRule type="expression" dxfId="2453" priority="1719">
      <formula>$AF150=2</formula>
    </cfRule>
    <cfRule type="expression" dxfId="2452" priority="1720">
      <formula>$AF150=1</formula>
    </cfRule>
  </conditionalFormatting>
  <conditionalFormatting sqref="N151:N152">
    <cfRule type="expression" dxfId="2451" priority="1716">
      <formula>$AC151=2</formula>
    </cfRule>
  </conditionalFormatting>
  <conditionalFormatting sqref="N151:N152">
    <cfRule type="expression" dxfId="2450" priority="1715">
      <formula>N151&gt;F151</formula>
    </cfRule>
  </conditionalFormatting>
  <conditionalFormatting sqref="G151:G152">
    <cfRule type="expression" dxfId="2449" priority="1702">
      <formula>G151&gt;F151</formula>
    </cfRule>
  </conditionalFormatting>
  <conditionalFormatting sqref="J150:K152">
    <cfRule type="expression" dxfId="2448" priority="1706">
      <formula>$AD150=4</formula>
    </cfRule>
    <cfRule type="expression" dxfId="2447" priority="1707">
      <formula>$AD150=3</formula>
    </cfRule>
    <cfRule type="expression" dxfId="2446" priority="1708">
      <formula>$AD150=2</formula>
    </cfRule>
    <cfRule type="expression" dxfId="2445" priority="1709">
      <formula>$AD150=1</formula>
    </cfRule>
  </conditionalFormatting>
  <conditionalFormatting sqref="J150:K152">
    <cfRule type="expression" dxfId="2444" priority="1705">
      <formula>$AC150=2</formula>
    </cfRule>
  </conditionalFormatting>
  <conditionalFormatting sqref="L150:L153">
    <cfRule type="expression" dxfId="2443" priority="1704">
      <formula>$AC150=2</formula>
    </cfRule>
  </conditionalFormatting>
  <conditionalFormatting sqref="G151:G152">
    <cfRule type="expression" dxfId="2442" priority="1703">
      <formula>$AC151=2</formula>
    </cfRule>
  </conditionalFormatting>
  <conditionalFormatting sqref="O150:O152">
    <cfRule type="expression" dxfId="2441" priority="1701">
      <formula>$AC150=2</formula>
    </cfRule>
  </conditionalFormatting>
  <conditionalFormatting sqref="V150:V152">
    <cfRule type="expression" dxfId="2440" priority="1700">
      <formula>$AC150=2</formula>
    </cfRule>
  </conditionalFormatting>
  <conditionalFormatting sqref="U151:U152">
    <cfRule type="expression" dxfId="2439" priority="1699">
      <formula>$AC151=2</formula>
    </cfRule>
  </conditionalFormatting>
  <conditionalFormatting sqref="U151:U152">
    <cfRule type="expression" dxfId="2438" priority="1698">
      <formula>U151&gt;F151</formula>
    </cfRule>
  </conditionalFormatting>
  <conditionalFormatting sqref="Q155:R155">
    <cfRule type="expression" dxfId="2437" priority="1692">
      <formula>$AE155=4</formula>
    </cfRule>
    <cfRule type="expression" dxfId="2436" priority="1693">
      <formula>$AE155=3</formula>
    </cfRule>
    <cfRule type="expression" dxfId="2435" priority="1694">
      <formula>$AE155=2</formula>
    </cfRule>
    <cfRule type="expression" dxfId="2434" priority="1695">
      <formula>$AE155=1</formula>
    </cfRule>
  </conditionalFormatting>
  <conditionalFormatting sqref="X155:Y155">
    <cfRule type="expression" dxfId="2433" priority="1688">
      <formula>$AF155=4</formula>
    </cfRule>
    <cfRule type="expression" dxfId="2432" priority="1689">
      <formula>$AF155=3</formula>
    </cfRule>
    <cfRule type="expression" dxfId="2431" priority="1690">
      <formula>$AF155=2</formula>
    </cfRule>
    <cfRule type="expression" dxfId="2430" priority="1691">
      <formula>$AF155=1</formula>
    </cfRule>
  </conditionalFormatting>
  <conditionalFormatting sqref="N155">
    <cfRule type="expression" dxfId="2429" priority="1687">
      <formula>$AC155=2</formula>
    </cfRule>
  </conditionalFormatting>
  <conditionalFormatting sqref="N155">
    <cfRule type="expression" dxfId="2428" priority="1686">
      <formula>N155&gt;F155</formula>
    </cfRule>
  </conditionalFormatting>
  <conditionalFormatting sqref="G155">
    <cfRule type="expression" dxfId="2427" priority="1673">
      <formula>G155&gt;F155</formula>
    </cfRule>
  </conditionalFormatting>
  <conditionalFormatting sqref="J155:K155">
    <cfRule type="expression" dxfId="2426" priority="1677">
      <formula>$AD155=4</formula>
    </cfRule>
    <cfRule type="expression" dxfId="2425" priority="1678">
      <formula>$AD155=3</formula>
    </cfRule>
    <cfRule type="expression" dxfId="2424" priority="1679">
      <formula>$AD155=2</formula>
    </cfRule>
    <cfRule type="expression" dxfId="2423" priority="1680">
      <formula>$AD155=1</formula>
    </cfRule>
  </conditionalFormatting>
  <conditionalFormatting sqref="J155:K155">
    <cfRule type="expression" dxfId="2422" priority="1676">
      <formula>$AC155=2</formula>
    </cfRule>
  </conditionalFormatting>
  <conditionalFormatting sqref="L155">
    <cfRule type="expression" dxfId="2421" priority="1675">
      <formula>$AC155=2</formula>
    </cfRule>
  </conditionalFormatting>
  <conditionalFormatting sqref="G155">
    <cfRule type="expression" dxfId="2420" priority="1674">
      <formula>$AC155=2</formula>
    </cfRule>
  </conditionalFormatting>
  <conditionalFormatting sqref="O155">
    <cfRule type="expression" dxfId="2419" priority="1672">
      <formula>$AC155=2</formula>
    </cfRule>
  </conditionalFormatting>
  <conditionalFormatting sqref="V155">
    <cfRule type="expression" dxfId="2418" priority="1671">
      <formula>$AC155=2</formula>
    </cfRule>
  </conditionalFormatting>
  <conditionalFormatting sqref="U155">
    <cfRule type="expression" dxfId="2417" priority="1670">
      <formula>$AC155=2</formula>
    </cfRule>
  </conditionalFormatting>
  <conditionalFormatting sqref="U155">
    <cfRule type="expression" dxfId="2416" priority="1669">
      <formula>U155&gt;F155</formula>
    </cfRule>
  </conditionalFormatting>
  <conditionalFormatting sqref="Q157:R157">
    <cfRule type="expression" dxfId="2415" priority="1663">
      <formula>$AE157=4</formula>
    </cfRule>
    <cfRule type="expression" dxfId="2414" priority="1664">
      <formula>$AE157=3</formula>
    </cfRule>
    <cfRule type="expression" dxfId="2413" priority="1665">
      <formula>$AE157=2</formula>
    </cfRule>
    <cfRule type="expression" dxfId="2412" priority="1666">
      <formula>$AE157=1</formula>
    </cfRule>
  </conditionalFormatting>
  <conditionalFormatting sqref="X157:Y157">
    <cfRule type="expression" dxfId="2411" priority="1659">
      <formula>$AF157=4</formula>
    </cfRule>
    <cfRule type="expression" dxfId="2410" priority="1660">
      <formula>$AF157=3</formula>
    </cfRule>
    <cfRule type="expression" dxfId="2409" priority="1661">
      <formula>$AF157=2</formula>
    </cfRule>
    <cfRule type="expression" dxfId="2408" priority="1662">
      <formula>$AF157=1</formula>
    </cfRule>
  </conditionalFormatting>
  <conditionalFormatting sqref="N157">
    <cfRule type="expression" dxfId="2407" priority="1658">
      <formula>$AC157=2</formula>
    </cfRule>
  </conditionalFormatting>
  <conditionalFormatting sqref="N157">
    <cfRule type="expression" dxfId="2406" priority="1657">
      <formula>N157&gt;F157</formula>
    </cfRule>
  </conditionalFormatting>
  <conditionalFormatting sqref="G157">
    <cfRule type="expression" dxfId="2405" priority="1644">
      <formula>G157&gt;F157</formula>
    </cfRule>
  </conditionalFormatting>
  <conditionalFormatting sqref="J157:K157">
    <cfRule type="expression" dxfId="2404" priority="1648">
      <formula>$AD157=4</formula>
    </cfRule>
    <cfRule type="expression" dxfId="2403" priority="1649">
      <formula>$AD157=3</formula>
    </cfRule>
    <cfRule type="expression" dxfId="2402" priority="1650">
      <formula>$AD157=2</formula>
    </cfRule>
    <cfRule type="expression" dxfId="2401" priority="1651">
      <formula>$AD157=1</formula>
    </cfRule>
  </conditionalFormatting>
  <conditionalFormatting sqref="J157:K157">
    <cfRule type="expression" dxfId="2400" priority="1647">
      <formula>$AC157=2</formula>
    </cfRule>
  </conditionalFormatting>
  <conditionalFormatting sqref="L157">
    <cfRule type="expression" dxfId="2399" priority="1646">
      <formula>$AC157=2</formula>
    </cfRule>
  </conditionalFormatting>
  <conditionalFormatting sqref="G157">
    <cfRule type="expression" dxfId="2398" priority="1645">
      <formula>$AC157=2</formula>
    </cfRule>
  </conditionalFormatting>
  <conditionalFormatting sqref="O157">
    <cfRule type="expression" dxfId="2397" priority="1643">
      <formula>$AC157=2</formula>
    </cfRule>
  </conditionalFormatting>
  <conditionalFormatting sqref="V157">
    <cfRule type="expression" dxfId="2396" priority="1642">
      <formula>$AC157=2</formula>
    </cfRule>
  </conditionalFormatting>
  <conditionalFormatting sqref="U157">
    <cfRule type="expression" dxfId="2395" priority="1641">
      <formula>$AC157=2</formula>
    </cfRule>
  </conditionalFormatting>
  <conditionalFormatting sqref="U157">
    <cfRule type="expression" dxfId="2394" priority="1640">
      <formula>U157&gt;F157</formula>
    </cfRule>
  </conditionalFormatting>
  <conditionalFormatting sqref="Q159:R159">
    <cfRule type="expression" dxfId="2393" priority="1634">
      <formula>$AE159=4</formula>
    </cfRule>
    <cfRule type="expression" dxfId="2392" priority="1635">
      <formula>$AE159=3</formula>
    </cfRule>
    <cfRule type="expression" dxfId="2391" priority="1636">
      <formula>$AE159=2</formula>
    </cfRule>
    <cfRule type="expression" dxfId="2390" priority="1637">
      <formula>$AE159=1</formula>
    </cfRule>
  </conditionalFormatting>
  <conditionalFormatting sqref="X159:Y159">
    <cfRule type="expression" dxfId="2389" priority="1630">
      <formula>$AF159=4</formula>
    </cfRule>
    <cfRule type="expression" dxfId="2388" priority="1631">
      <formula>$AF159=3</formula>
    </cfRule>
    <cfRule type="expression" dxfId="2387" priority="1632">
      <formula>$AF159=2</formula>
    </cfRule>
    <cfRule type="expression" dxfId="2386" priority="1633">
      <formula>$AF159=1</formula>
    </cfRule>
  </conditionalFormatting>
  <conditionalFormatting sqref="N159">
    <cfRule type="expression" dxfId="2385" priority="1629">
      <formula>$AC159=2</formula>
    </cfRule>
  </conditionalFormatting>
  <conditionalFormatting sqref="N159">
    <cfRule type="expression" dxfId="2384" priority="1628">
      <formula>N159&gt;F159</formula>
    </cfRule>
  </conditionalFormatting>
  <conditionalFormatting sqref="G159">
    <cfRule type="expression" dxfId="2383" priority="1615">
      <formula>G159&gt;F159</formula>
    </cfRule>
  </conditionalFormatting>
  <conditionalFormatting sqref="J159:K159">
    <cfRule type="expression" dxfId="2382" priority="1619">
      <formula>$AD159=4</formula>
    </cfRule>
    <cfRule type="expression" dxfId="2381" priority="1620">
      <formula>$AD159=3</formula>
    </cfRule>
    <cfRule type="expression" dxfId="2380" priority="1621">
      <formula>$AD159=2</formula>
    </cfRule>
    <cfRule type="expression" dxfId="2379" priority="1622">
      <formula>$AD159=1</formula>
    </cfRule>
  </conditionalFormatting>
  <conditionalFormatting sqref="J159:K159">
    <cfRule type="expression" dxfId="2378" priority="1618">
      <formula>$AC159=2</formula>
    </cfRule>
  </conditionalFormatting>
  <conditionalFormatting sqref="L159">
    <cfRule type="expression" dxfId="2377" priority="1617">
      <formula>$AC159=2</formula>
    </cfRule>
  </conditionalFormatting>
  <conditionalFormatting sqref="G159">
    <cfRule type="expression" dxfId="2376" priority="1616">
      <formula>$AC159=2</formula>
    </cfRule>
  </conditionalFormatting>
  <conditionalFormatting sqref="O159">
    <cfRule type="expression" dxfId="2375" priority="1614">
      <formula>$AC159=2</formula>
    </cfRule>
  </conditionalFormatting>
  <conditionalFormatting sqref="V159">
    <cfRule type="expression" dxfId="2374" priority="1613">
      <formula>$AC159=2</formula>
    </cfRule>
  </conditionalFormatting>
  <conditionalFormatting sqref="U159">
    <cfRule type="expression" dxfId="2373" priority="1612">
      <formula>$AC159=2</formula>
    </cfRule>
  </conditionalFormatting>
  <conditionalFormatting sqref="U159">
    <cfRule type="expression" dxfId="2372" priority="1611">
      <formula>U159&gt;F159</formula>
    </cfRule>
  </conditionalFormatting>
  <conditionalFormatting sqref="Q164:R164 R165">
    <cfRule type="expression" dxfId="2371" priority="1605">
      <formula>$AE164=4</formula>
    </cfRule>
    <cfRule type="expression" dxfId="2370" priority="1606">
      <formula>$AE164=3</formula>
    </cfRule>
    <cfRule type="expression" dxfId="2369" priority="1607">
      <formula>$AE164=2</formula>
    </cfRule>
    <cfRule type="expression" dxfId="2368" priority="1608">
      <formula>$AE164=1</formula>
    </cfRule>
  </conditionalFormatting>
  <conditionalFormatting sqref="X164:Y164">
    <cfRule type="expression" dxfId="2367" priority="1601">
      <formula>$AF164=4</formula>
    </cfRule>
    <cfRule type="expression" dxfId="2366" priority="1602">
      <formula>$AF164=3</formula>
    </cfRule>
    <cfRule type="expression" dxfId="2365" priority="1603">
      <formula>$AF164=2</formula>
    </cfRule>
    <cfRule type="expression" dxfId="2364" priority="1604">
      <formula>$AF164=1</formula>
    </cfRule>
  </conditionalFormatting>
  <conditionalFormatting sqref="N164">
    <cfRule type="expression" dxfId="2363" priority="1600">
      <formula>$AC164=2</formula>
    </cfRule>
  </conditionalFormatting>
  <conditionalFormatting sqref="N164">
    <cfRule type="expression" dxfId="2362" priority="1599">
      <formula>N164&gt;F164</formula>
    </cfRule>
  </conditionalFormatting>
  <conditionalFormatting sqref="G164">
    <cfRule type="expression" dxfId="2361" priority="1586">
      <formula>G164&gt;F164</formula>
    </cfRule>
  </conditionalFormatting>
  <conditionalFormatting sqref="J164:K164 K165">
    <cfRule type="expression" dxfId="2360" priority="1590">
      <formula>$AD164=4</formula>
    </cfRule>
    <cfRule type="expression" dxfId="2359" priority="1591">
      <formula>$AD164=3</formula>
    </cfRule>
    <cfRule type="expression" dxfId="2358" priority="1592">
      <formula>$AD164=2</formula>
    </cfRule>
    <cfRule type="expression" dxfId="2357" priority="1593">
      <formula>$AD164=1</formula>
    </cfRule>
  </conditionalFormatting>
  <conditionalFormatting sqref="J164:K164 K165">
    <cfRule type="expression" dxfId="2356" priority="1589">
      <formula>$AC164=2</formula>
    </cfRule>
  </conditionalFormatting>
  <conditionalFormatting sqref="L164:L165">
    <cfRule type="expression" dxfId="2355" priority="1588">
      <formula>$AC164=2</formula>
    </cfRule>
  </conditionalFormatting>
  <conditionalFormatting sqref="G164">
    <cfRule type="expression" dxfId="2354" priority="1587">
      <formula>$AC164=2</formula>
    </cfRule>
  </conditionalFormatting>
  <conditionalFormatting sqref="O164">
    <cfRule type="expression" dxfId="2353" priority="1585">
      <formula>$AC164=2</formula>
    </cfRule>
  </conditionalFormatting>
  <conditionalFormatting sqref="V164">
    <cfRule type="expression" dxfId="2352" priority="1584">
      <formula>$AC164=2</formula>
    </cfRule>
  </conditionalFormatting>
  <conditionalFormatting sqref="U164">
    <cfRule type="expression" dxfId="2351" priority="1583">
      <formula>$AC164=2</formula>
    </cfRule>
  </conditionalFormatting>
  <conditionalFormatting sqref="U164">
    <cfRule type="expression" dxfId="2350" priority="1582">
      <formula>U164&gt;F164</formula>
    </cfRule>
  </conditionalFormatting>
  <conditionalFormatting sqref="Q167:R169">
    <cfRule type="expression" dxfId="2349" priority="1576">
      <formula>$AE167=4</formula>
    </cfRule>
    <cfRule type="expression" dxfId="2348" priority="1577">
      <formula>$AE167=3</formula>
    </cfRule>
    <cfRule type="expression" dxfId="2347" priority="1578">
      <formula>$AE167=2</formula>
    </cfRule>
    <cfRule type="expression" dxfId="2346" priority="1579">
      <formula>$AE167=1</formula>
    </cfRule>
  </conditionalFormatting>
  <conditionalFormatting sqref="X167:Y169">
    <cfRule type="expression" dxfId="2345" priority="1572">
      <formula>$AF167=4</formula>
    </cfRule>
    <cfRule type="expression" dxfId="2344" priority="1573">
      <formula>$AF167=3</formula>
    </cfRule>
    <cfRule type="expression" dxfId="2343" priority="1574">
      <formula>$AF167=2</formula>
    </cfRule>
    <cfRule type="expression" dxfId="2342" priority="1575">
      <formula>$AF167=1</formula>
    </cfRule>
  </conditionalFormatting>
  <conditionalFormatting sqref="N168:N169">
    <cfRule type="expression" dxfId="2341" priority="1571">
      <formula>$AC168=2</formula>
    </cfRule>
  </conditionalFormatting>
  <conditionalFormatting sqref="N168:N169">
    <cfRule type="expression" dxfId="2340" priority="1570">
      <formula>N168&gt;F168</formula>
    </cfRule>
  </conditionalFormatting>
  <conditionalFormatting sqref="G168:G169">
    <cfRule type="expression" dxfId="2339" priority="1557">
      <formula>G168&gt;F168</formula>
    </cfRule>
  </conditionalFormatting>
  <conditionalFormatting sqref="J167:K169">
    <cfRule type="expression" dxfId="2338" priority="1561">
      <formula>$AD167=4</formula>
    </cfRule>
    <cfRule type="expression" dxfId="2337" priority="1562">
      <formula>$AD167=3</formula>
    </cfRule>
    <cfRule type="expression" dxfId="2336" priority="1563">
      <formula>$AD167=2</formula>
    </cfRule>
    <cfRule type="expression" dxfId="2335" priority="1564">
      <formula>$AD167=1</formula>
    </cfRule>
  </conditionalFormatting>
  <conditionalFormatting sqref="J167:K169">
    <cfRule type="expression" dxfId="2334" priority="1560">
      <formula>$AC167=2</formula>
    </cfRule>
  </conditionalFormatting>
  <conditionalFormatting sqref="L167:L169">
    <cfRule type="expression" dxfId="2333" priority="1559">
      <formula>$AC167=2</formula>
    </cfRule>
  </conditionalFormatting>
  <conditionalFormatting sqref="G168:G169">
    <cfRule type="expression" dxfId="2332" priority="1558">
      <formula>$AC168=2</formula>
    </cfRule>
  </conditionalFormatting>
  <conditionalFormatting sqref="O167:O169">
    <cfRule type="expression" dxfId="2331" priority="1556">
      <formula>$AC167=2</formula>
    </cfRule>
  </conditionalFormatting>
  <conditionalFormatting sqref="V167:V169">
    <cfRule type="expression" dxfId="2330" priority="1555">
      <formula>$AC167=2</formula>
    </cfRule>
  </conditionalFormatting>
  <conditionalFormatting sqref="U168:U169">
    <cfRule type="expression" dxfId="2329" priority="1554">
      <formula>$AC168=2</formula>
    </cfRule>
  </conditionalFormatting>
  <conditionalFormatting sqref="U168:U169">
    <cfRule type="expression" dxfId="2328" priority="1553">
      <formula>U168&gt;F168</formula>
    </cfRule>
  </conditionalFormatting>
  <conditionalFormatting sqref="N172:N173">
    <cfRule type="expression" dxfId="2327" priority="1542">
      <formula>$AC172=2</formula>
    </cfRule>
  </conditionalFormatting>
  <conditionalFormatting sqref="N172:N173">
    <cfRule type="expression" dxfId="2326" priority="1541">
      <formula>N172&gt;F172</formula>
    </cfRule>
  </conditionalFormatting>
  <conditionalFormatting sqref="G172:G173">
    <cfRule type="expression" dxfId="2325" priority="1528">
      <formula>G172&gt;F172</formula>
    </cfRule>
  </conditionalFormatting>
  <conditionalFormatting sqref="G172:G173">
    <cfRule type="expression" dxfId="2324" priority="1529">
      <formula>$AC172=2</formula>
    </cfRule>
  </conditionalFormatting>
  <conditionalFormatting sqref="U172:U173">
    <cfRule type="expression" dxfId="2323" priority="1525">
      <formula>$AC172=2</formula>
    </cfRule>
  </conditionalFormatting>
  <conditionalFormatting sqref="U172:U173">
    <cfRule type="expression" dxfId="2322" priority="1524">
      <formula>U172&gt;F172</formula>
    </cfRule>
  </conditionalFormatting>
  <conditionalFormatting sqref="Q175:R177">
    <cfRule type="expression" dxfId="2321" priority="1518">
      <formula>$AE175=4</formula>
    </cfRule>
    <cfRule type="expression" dxfId="2320" priority="1519">
      <formula>$AE175=3</formula>
    </cfRule>
    <cfRule type="expression" dxfId="2319" priority="1520">
      <formula>$AE175=2</formula>
    </cfRule>
    <cfRule type="expression" dxfId="2318" priority="1521">
      <formula>$AE175=1</formula>
    </cfRule>
  </conditionalFormatting>
  <conditionalFormatting sqref="X175:Y177">
    <cfRule type="expression" dxfId="2317" priority="1514">
      <formula>$AF175=4</formula>
    </cfRule>
    <cfRule type="expression" dxfId="2316" priority="1515">
      <formula>$AF175=3</formula>
    </cfRule>
    <cfRule type="expression" dxfId="2315" priority="1516">
      <formula>$AF175=2</formula>
    </cfRule>
    <cfRule type="expression" dxfId="2314" priority="1517">
      <formula>$AF175=1</formula>
    </cfRule>
  </conditionalFormatting>
  <conditionalFormatting sqref="N176:N177">
    <cfRule type="expression" dxfId="2313" priority="1513">
      <formula>$AC176=2</formula>
    </cfRule>
  </conditionalFormatting>
  <conditionalFormatting sqref="N176:N177">
    <cfRule type="expression" dxfId="2312" priority="1512">
      <formula>N176&gt;F176</formula>
    </cfRule>
  </conditionalFormatting>
  <conditionalFormatting sqref="G176:G177">
    <cfRule type="expression" dxfId="2311" priority="1499">
      <formula>G176&gt;F176</formula>
    </cfRule>
  </conditionalFormatting>
  <conditionalFormatting sqref="J175:K177">
    <cfRule type="expression" dxfId="2310" priority="1503">
      <formula>$AD175=4</formula>
    </cfRule>
    <cfRule type="expression" dxfId="2309" priority="1504">
      <formula>$AD175=3</formula>
    </cfRule>
    <cfRule type="expression" dxfId="2308" priority="1505">
      <formula>$AD175=2</formula>
    </cfRule>
    <cfRule type="expression" dxfId="2307" priority="1506">
      <formula>$AD175=1</formula>
    </cfRule>
  </conditionalFormatting>
  <conditionalFormatting sqref="J175:K177">
    <cfRule type="expression" dxfId="2306" priority="1502">
      <formula>$AC175=2</formula>
    </cfRule>
  </conditionalFormatting>
  <conditionalFormatting sqref="L175:L177">
    <cfRule type="expression" dxfId="2305" priority="1501">
      <formula>$AC175=2</formula>
    </cfRule>
  </conditionalFormatting>
  <conditionalFormatting sqref="G176:G177">
    <cfRule type="expression" dxfId="2304" priority="1500">
      <formula>$AC176=2</formula>
    </cfRule>
  </conditionalFormatting>
  <conditionalFormatting sqref="O175:O177">
    <cfRule type="expression" dxfId="2303" priority="1498">
      <formula>$AC175=2</formula>
    </cfRule>
  </conditionalFormatting>
  <conditionalFormatting sqref="V175:V177">
    <cfRule type="expression" dxfId="2302" priority="1497">
      <formula>$AC175=2</formula>
    </cfRule>
  </conditionalFormatting>
  <conditionalFormatting sqref="U176:U177">
    <cfRule type="expression" dxfId="2301" priority="1496">
      <formula>$AC176=2</formula>
    </cfRule>
  </conditionalFormatting>
  <conditionalFormatting sqref="U176:U177">
    <cfRule type="expression" dxfId="2300" priority="1495">
      <formula>U176&gt;F176</formula>
    </cfRule>
  </conditionalFormatting>
  <conditionalFormatting sqref="Q179:R181">
    <cfRule type="expression" dxfId="2299" priority="1489">
      <formula>$AE179=4</formula>
    </cfRule>
    <cfRule type="expression" dxfId="2298" priority="1490">
      <formula>$AE179=3</formula>
    </cfRule>
    <cfRule type="expression" dxfId="2297" priority="1491">
      <formula>$AE179=2</formula>
    </cfRule>
    <cfRule type="expression" dxfId="2296" priority="1492">
      <formula>$AE179=1</formula>
    </cfRule>
  </conditionalFormatting>
  <conditionalFormatting sqref="X179:Y181">
    <cfRule type="expression" dxfId="2295" priority="1485">
      <formula>$AF179=4</formula>
    </cfRule>
    <cfRule type="expression" dxfId="2294" priority="1486">
      <formula>$AF179=3</formula>
    </cfRule>
    <cfRule type="expression" dxfId="2293" priority="1487">
      <formula>$AF179=2</formula>
    </cfRule>
    <cfRule type="expression" dxfId="2292" priority="1488">
      <formula>$AF179=1</formula>
    </cfRule>
  </conditionalFormatting>
  <conditionalFormatting sqref="N180:N181">
    <cfRule type="expression" dxfId="2291" priority="1484">
      <formula>$AC180=2</formula>
    </cfRule>
  </conditionalFormatting>
  <conditionalFormatting sqref="N180:N181">
    <cfRule type="expression" dxfId="2290" priority="1483">
      <formula>N180&gt;F180</formula>
    </cfRule>
  </conditionalFormatting>
  <conditionalFormatting sqref="G180:G181">
    <cfRule type="expression" dxfId="2289" priority="1470">
      <formula>G180&gt;F180</formula>
    </cfRule>
  </conditionalFormatting>
  <conditionalFormatting sqref="J179:K181">
    <cfRule type="expression" dxfId="2288" priority="1474">
      <formula>$AD179=4</formula>
    </cfRule>
    <cfRule type="expression" dxfId="2287" priority="1475">
      <formula>$AD179=3</formula>
    </cfRule>
    <cfRule type="expression" dxfId="2286" priority="1476">
      <formula>$AD179=2</formula>
    </cfRule>
    <cfRule type="expression" dxfId="2285" priority="1477">
      <formula>$AD179=1</formula>
    </cfRule>
  </conditionalFormatting>
  <conditionalFormatting sqref="J179:K181">
    <cfRule type="expression" dxfId="2284" priority="1473">
      <formula>$AC179=2</formula>
    </cfRule>
  </conditionalFormatting>
  <conditionalFormatting sqref="L179:L181">
    <cfRule type="expression" dxfId="2283" priority="1472">
      <formula>$AC179=2</formula>
    </cfRule>
  </conditionalFormatting>
  <conditionalFormatting sqref="G180:G181">
    <cfRule type="expression" dxfId="2282" priority="1471">
      <formula>$AC180=2</formula>
    </cfRule>
  </conditionalFormatting>
  <conditionalFormatting sqref="O179:O181">
    <cfRule type="expression" dxfId="2281" priority="1469">
      <formula>$AC179=2</formula>
    </cfRule>
  </conditionalFormatting>
  <conditionalFormatting sqref="V179:V181">
    <cfRule type="expression" dxfId="2280" priority="1468">
      <formula>$AC179=2</formula>
    </cfRule>
  </conditionalFormatting>
  <conditionalFormatting sqref="U180:U181">
    <cfRule type="expression" dxfId="2279" priority="1467">
      <formula>$AC180=2</formula>
    </cfRule>
  </conditionalFormatting>
  <conditionalFormatting sqref="U180:U181">
    <cfRule type="expression" dxfId="2278" priority="1466">
      <formula>U180&gt;F180</formula>
    </cfRule>
  </conditionalFormatting>
  <conditionalFormatting sqref="Q183:R183">
    <cfRule type="expression" dxfId="2277" priority="1460">
      <formula>$AE183=4</formula>
    </cfRule>
    <cfRule type="expression" dxfId="2276" priority="1461">
      <formula>$AE183=3</formula>
    </cfRule>
    <cfRule type="expression" dxfId="2275" priority="1462">
      <formula>$AE183=2</formula>
    </cfRule>
    <cfRule type="expression" dxfId="2274" priority="1463">
      <formula>$AE183=1</formula>
    </cfRule>
  </conditionalFormatting>
  <conditionalFormatting sqref="X183:Y183">
    <cfRule type="expression" dxfId="2273" priority="1456">
      <formula>$AF183=4</formula>
    </cfRule>
    <cfRule type="expression" dxfId="2272" priority="1457">
      <formula>$AF183=3</formula>
    </cfRule>
    <cfRule type="expression" dxfId="2271" priority="1458">
      <formula>$AF183=2</formula>
    </cfRule>
    <cfRule type="expression" dxfId="2270" priority="1459">
      <formula>$AF183=1</formula>
    </cfRule>
  </conditionalFormatting>
  <conditionalFormatting sqref="N183">
    <cfRule type="expression" dxfId="2269" priority="1455">
      <formula>$AC183=2</formula>
    </cfRule>
  </conditionalFormatting>
  <conditionalFormatting sqref="N183">
    <cfRule type="expression" dxfId="2268" priority="1454">
      <formula>N183&gt;F183</formula>
    </cfRule>
  </conditionalFormatting>
  <conditionalFormatting sqref="G183">
    <cfRule type="expression" dxfId="2267" priority="1441">
      <formula>G183&gt;F183</formula>
    </cfRule>
  </conditionalFormatting>
  <conditionalFormatting sqref="J183:K183">
    <cfRule type="expression" dxfId="2266" priority="1445">
      <formula>$AD183=4</formula>
    </cfRule>
    <cfRule type="expression" dxfId="2265" priority="1446">
      <formula>$AD183=3</formula>
    </cfRule>
    <cfRule type="expression" dxfId="2264" priority="1447">
      <formula>$AD183=2</formula>
    </cfRule>
    <cfRule type="expression" dxfId="2263" priority="1448">
      <formula>$AD183=1</formula>
    </cfRule>
  </conditionalFormatting>
  <conditionalFormatting sqref="J183:K183">
    <cfRule type="expression" dxfId="2262" priority="1444">
      <formula>$AC183=2</formula>
    </cfRule>
  </conditionalFormatting>
  <conditionalFormatting sqref="L183">
    <cfRule type="expression" dxfId="2261" priority="1443">
      <formula>$AC183=2</formula>
    </cfRule>
  </conditionalFormatting>
  <conditionalFormatting sqref="G183">
    <cfRule type="expression" dxfId="2260" priority="1442">
      <formula>$AC183=2</formula>
    </cfRule>
  </conditionalFormatting>
  <conditionalFormatting sqref="O183">
    <cfRule type="expression" dxfId="2259" priority="1440">
      <formula>$AC183=2</formula>
    </cfRule>
  </conditionalFormatting>
  <conditionalFormatting sqref="V183">
    <cfRule type="expression" dxfId="2258" priority="1439">
      <formula>$AC183=2</formula>
    </cfRule>
  </conditionalFormatting>
  <conditionalFormatting sqref="U183">
    <cfRule type="expression" dxfId="2257" priority="1438">
      <formula>$AC183=2</formula>
    </cfRule>
  </conditionalFormatting>
  <conditionalFormatting sqref="U183">
    <cfRule type="expression" dxfId="2256" priority="1437">
      <formula>U183&gt;F183</formula>
    </cfRule>
  </conditionalFormatting>
  <conditionalFormatting sqref="Q185:R186">
    <cfRule type="expression" dxfId="2255" priority="1431">
      <formula>$AE185=4</formula>
    </cfRule>
    <cfRule type="expression" dxfId="2254" priority="1432">
      <formula>$AE185=3</formula>
    </cfRule>
    <cfRule type="expression" dxfId="2253" priority="1433">
      <formula>$AE185=2</formula>
    </cfRule>
    <cfRule type="expression" dxfId="2252" priority="1434">
      <formula>$AE185=1</formula>
    </cfRule>
  </conditionalFormatting>
  <conditionalFormatting sqref="X185:Y186">
    <cfRule type="expression" dxfId="2251" priority="1427">
      <formula>$AF185=4</formula>
    </cfRule>
    <cfRule type="expression" dxfId="2250" priority="1428">
      <formula>$AF185=3</formula>
    </cfRule>
    <cfRule type="expression" dxfId="2249" priority="1429">
      <formula>$AF185=2</formula>
    </cfRule>
    <cfRule type="expression" dxfId="2248" priority="1430">
      <formula>$AF185=1</formula>
    </cfRule>
  </conditionalFormatting>
  <conditionalFormatting sqref="N186">
    <cfRule type="expression" dxfId="2247" priority="1426">
      <formula>$AC186=2</formula>
    </cfRule>
  </conditionalFormatting>
  <conditionalFormatting sqref="N186">
    <cfRule type="expression" dxfId="2246" priority="1425">
      <formula>N186&gt;F186</formula>
    </cfRule>
  </conditionalFormatting>
  <conditionalFormatting sqref="G186">
    <cfRule type="expression" dxfId="2245" priority="1412">
      <formula>G186&gt;F186</formula>
    </cfRule>
  </conditionalFormatting>
  <conditionalFormatting sqref="J185:K186">
    <cfRule type="expression" dxfId="2244" priority="1416">
      <formula>$AD185=4</formula>
    </cfRule>
    <cfRule type="expression" dxfId="2243" priority="1417">
      <formula>$AD185=3</formula>
    </cfRule>
    <cfRule type="expression" dxfId="2242" priority="1418">
      <formula>$AD185=2</formula>
    </cfRule>
    <cfRule type="expression" dxfId="2241" priority="1419">
      <formula>$AD185=1</formula>
    </cfRule>
  </conditionalFormatting>
  <conditionalFormatting sqref="J185:K186">
    <cfRule type="expression" dxfId="2240" priority="1415">
      <formula>$AC185=2</formula>
    </cfRule>
  </conditionalFormatting>
  <conditionalFormatting sqref="L185:L186">
    <cfRule type="expression" dxfId="2239" priority="1414">
      <formula>$AC185=2</formula>
    </cfRule>
  </conditionalFormatting>
  <conditionalFormatting sqref="G186">
    <cfRule type="expression" dxfId="2238" priority="1413">
      <formula>$AC186=2</formula>
    </cfRule>
  </conditionalFormatting>
  <conditionalFormatting sqref="O185:O186">
    <cfRule type="expression" dxfId="2237" priority="1411">
      <formula>$AC185=2</formula>
    </cfRule>
  </conditionalFormatting>
  <conditionalFormatting sqref="V185:V186">
    <cfRule type="expression" dxfId="2236" priority="1410">
      <formula>$AC185=2</formula>
    </cfRule>
  </conditionalFormatting>
  <conditionalFormatting sqref="U186">
    <cfRule type="expression" dxfId="2235" priority="1409">
      <formula>$AC186=2</formula>
    </cfRule>
  </conditionalFormatting>
  <conditionalFormatting sqref="U186">
    <cfRule type="expression" dxfId="2234" priority="1408">
      <formula>U186&gt;F186</formula>
    </cfRule>
  </conditionalFormatting>
  <conditionalFormatting sqref="Q188:R191">
    <cfRule type="expression" dxfId="2233" priority="1402">
      <formula>$AE188=4</formula>
    </cfRule>
    <cfRule type="expression" dxfId="2232" priority="1403">
      <formula>$AE188=3</formula>
    </cfRule>
    <cfRule type="expression" dxfId="2231" priority="1404">
      <formula>$AE188=2</formula>
    </cfRule>
    <cfRule type="expression" dxfId="2230" priority="1405">
      <formula>$AE188=1</formula>
    </cfRule>
  </conditionalFormatting>
  <conditionalFormatting sqref="X188:Y191">
    <cfRule type="expression" dxfId="2229" priority="1398">
      <formula>$AF188=4</formula>
    </cfRule>
    <cfRule type="expression" dxfId="2228" priority="1399">
      <formula>$AF188=3</formula>
    </cfRule>
    <cfRule type="expression" dxfId="2227" priority="1400">
      <formula>$AF188=2</formula>
    </cfRule>
    <cfRule type="expression" dxfId="2226" priority="1401">
      <formula>$AF188=1</formula>
    </cfRule>
  </conditionalFormatting>
  <conditionalFormatting sqref="N189:N191">
    <cfRule type="expression" dxfId="2225" priority="1397">
      <formula>$AC189=2</formula>
    </cfRule>
  </conditionalFormatting>
  <conditionalFormatting sqref="N189:N191">
    <cfRule type="expression" dxfId="2224" priority="1396">
      <formula>N189&gt;F189</formula>
    </cfRule>
  </conditionalFormatting>
  <conditionalFormatting sqref="G189:G191">
    <cfRule type="expression" dxfId="2223" priority="1383">
      <formula>G189&gt;F189</formula>
    </cfRule>
  </conditionalFormatting>
  <conditionalFormatting sqref="J188:K191">
    <cfRule type="expression" dxfId="2222" priority="1387">
      <formula>$AD188=4</formula>
    </cfRule>
    <cfRule type="expression" dxfId="2221" priority="1388">
      <formula>$AD188=3</formula>
    </cfRule>
    <cfRule type="expression" dxfId="2220" priority="1389">
      <formula>$AD188=2</formula>
    </cfRule>
    <cfRule type="expression" dxfId="2219" priority="1390">
      <formula>$AD188=1</formula>
    </cfRule>
  </conditionalFormatting>
  <conditionalFormatting sqref="J188:K191">
    <cfRule type="expression" dxfId="2218" priority="1386">
      <formula>$AC188=2</formula>
    </cfRule>
  </conditionalFormatting>
  <conditionalFormatting sqref="L188:L191">
    <cfRule type="expression" dxfId="2217" priority="1385">
      <formula>$AC188=2</formula>
    </cfRule>
  </conditionalFormatting>
  <conditionalFormatting sqref="G189:G191">
    <cfRule type="expression" dxfId="2216" priority="1384">
      <formula>$AC189=2</formula>
    </cfRule>
  </conditionalFormatting>
  <conditionalFormatting sqref="O188:O189 O191">
    <cfRule type="expression" dxfId="2215" priority="1382">
      <formula>$AC188=2</formula>
    </cfRule>
  </conditionalFormatting>
  <conditionalFormatting sqref="V188:V189 V191">
    <cfRule type="expression" dxfId="2214" priority="1381">
      <formula>$AC188=2</formula>
    </cfRule>
  </conditionalFormatting>
  <conditionalFormatting sqref="U189:U191">
    <cfRule type="expression" dxfId="2213" priority="1380">
      <formula>$AC189=2</formula>
    </cfRule>
  </conditionalFormatting>
  <conditionalFormatting sqref="U189:U191">
    <cfRule type="expression" dxfId="2212" priority="1379">
      <formula>U189&gt;F189</formula>
    </cfRule>
  </conditionalFormatting>
  <conditionalFormatting sqref="Q201:R202">
    <cfRule type="expression" dxfId="2211" priority="1344">
      <formula>$AE201=4</formula>
    </cfRule>
    <cfRule type="expression" dxfId="2210" priority="1345">
      <formula>$AE201=3</formula>
    </cfRule>
    <cfRule type="expression" dxfId="2209" priority="1346">
      <formula>$AE201=2</formula>
    </cfRule>
    <cfRule type="expression" dxfId="2208" priority="1347">
      <formula>$AE201=1</formula>
    </cfRule>
  </conditionalFormatting>
  <conditionalFormatting sqref="X201:Y202">
    <cfRule type="expression" dxfId="2207" priority="1340">
      <formula>$AF201=4</formula>
    </cfRule>
    <cfRule type="expression" dxfId="2206" priority="1341">
      <formula>$AF201=3</formula>
    </cfRule>
    <cfRule type="expression" dxfId="2205" priority="1342">
      <formula>$AF201=2</formula>
    </cfRule>
    <cfRule type="expression" dxfId="2204" priority="1343">
      <formula>$AF201=1</formula>
    </cfRule>
  </conditionalFormatting>
  <conditionalFormatting sqref="N201:N202">
    <cfRule type="expression" dxfId="2203" priority="1339">
      <formula>$AC201=2</formula>
    </cfRule>
  </conditionalFormatting>
  <conditionalFormatting sqref="N201:N202">
    <cfRule type="expression" dxfId="2202" priority="1338">
      <formula>N201&gt;F201</formula>
    </cfRule>
  </conditionalFormatting>
  <conditionalFormatting sqref="G201:G202">
    <cfRule type="expression" dxfId="2201" priority="1325">
      <formula>G201&gt;F201</formula>
    </cfRule>
  </conditionalFormatting>
  <conditionalFormatting sqref="J201:K202">
    <cfRule type="expression" dxfId="2200" priority="1329">
      <formula>$AD201=4</formula>
    </cfRule>
    <cfRule type="expression" dxfId="2199" priority="1330">
      <formula>$AD201=3</formula>
    </cfRule>
    <cfRule type="expression" dxfId="2198" priority="1331">
      <formula>$AD201=2</formula>
    </cfRule>
    <cfRule type="expression" dxfId="2197" priority="1332">
      <formula>$AD201=1</formula>
    </cfRule>
  </conditionalFormatting>
  <conditionalFormatting sqref="J201:K202">
    <cfRule type="expression" dxfId="2196" priority="1328">
      <formula>$AC201=2</formula>
    </cfRule>
  </conditionalFormatting>
  <conditionalFormatting sqref="L201:L202">
    <cfRule type="expression" dxfId="2195" priority="1327">
      <formula>$AC201=2</formula>
    </cfRule>
  </conditionalFormatting>
  <conditionalFormatting sqref="G201:G202">
    <cfRule type="expression" dxfId="2194" priority="1326">
      <formula>$AC201=2</formula>
    </cfRule>
  </conditionalFormatting>
  <conditionalFormatting sqref="O201:O202">
    <cfRule type="expression" dxfId="2193" priority="1324">
      <formula>$AC201=2</formula>
    </cfRule>
  </conditionalFormatting>
  <conditionalFormatting sqref="V201:V202">
    <cfRule type="expression" dxfId="2192" priority="1323">
      <formula>$AC201=2</formula>
    </cfRule>
  </conditionalFormatting>
  <conditionalFormatting sqref="U201:U202">
    <cfRule type="expression" dxfId="2191" priority="1322">
      <formula>$AC201=2</formula>
    </cfRule>
  </conditionalFormatting>
  <conditionalFormatting sqref="U201:U202">
    <cfRule type="expression" dxfId="2190" priority="1321">
      <formula>U201&gt;F201</formula>
    </cfRule>
  </conditionalFormatting>
  <conditionalFormatting sqref="Q204:R205">
    <cfRule type="expression" dxfId="2189" priority="1315">
      <formula>$AE204=4</formula>
    </cfRule>
    <cfRule type="expression" dxfId="2188" priority="1316">
      <formula>$AE204=3</formula>
    </cfRule>
    <cfRule type="expression" dxfId="2187" priority="1317">
      <formula>$AE204=2</formula>
    </cfRule>
    <cfRule type="expression" dxfId="2186" priority="1318">
      <formula>$AE204=1</formula>
    </cfRule>
  </conditionalFormatting>
  <conditionalFormatting sqref="X204:Y205">
    <cfRule type="expression" dxfId="2185" priority="1311">
      <formula>$AF204=4</formula>
    </cfRule>
    <cfRule type="expression" dxfId="2184" priority="1312">
      <formula>$AF204=3</formula>
    </cfRule>
    <cfRule type="expression" dxfId="2183" priority="1313">
      <formula>$AF204=2</formula>
    </cfRule>
    <cfRule type="expression" dxfId="2182" priority="1314">
      <formula>$AF204=1</formula>
    </cfRule>
  </conditionalFormatting>
  <conditionalFormatting sqref="N204:N205">
    <cfRule type="expression" dxfId="2181" priority="1310">
      <formula>$AC204=2</formula>
    </cfRule>
  </conditionalFormatting>
  <conditionalFormatting sqref="N204:N205">
    <cfRule type="expression" dxfId="2180" priority="1309">
      <formula>N204&gt;F204</formula>
    </cfRule>
  </conditionalFormatting>
  <conditionalFormatting sqref="G204:G205">
    <cfRule type="expression" dxfId="2179" priority="1296">
      <formula>G204&gt;F204</formula>
    </cfRule>
  </conditionalFormatting>
  <conditionalFormatting sqref="J204:K205">
    <cfRule type="expression" dxfId="2178" priority="1300">
      <formula>$AD204=4</formula>
    </cfRule>
    <cfRule type="expression" dxfId="2177" priority="1301">
      <formula>$AD204=3</formula>
    </cfRule>
    <cfRule type="expression" dxfId="2176" priority="1302">
      <formula>$AD204=2</formula>
    </cfRule>
    <cfRule type="expression" dxfId="2175" priority="1303">
      <formula>$AD204=1</formula>
    </cfRule>
  </conditionalFormatting>
  <conditionalFormatting sqref="J204:K205">
    <cfRule type="expression" dxfId="2174" priority="1299">
      <formula>$AC204=2</formula>
    </cfRule>
  </conditionalFormatting>
  <conditionalFormatting sqref="L204:L205">
    <cfRule type="expression" dxfId="2173" priority="1298">
      <formula>$AC204=2</formula>
    </cfRule>
  </conditionalFormatting>
  <conditionalFormatting sqref="G204:G205">
    <cfRule type="expression" dxfId="2172" priority="1297">
      <formula>$AC204=2</formula>
    </cfRule>
  </conditionalFormatting>
  <conditionalFormatting sqref="O204:O205">
    <cfRule type="expression" dxfId="2171" priority="1295">
      <formula>$AC204=2</formula>
    </cfRule>
  </conditionalFormatting>
  <conditionalFormatting sqref="V204:V205">
    <cfRule type="expression" dxfId="2170" priority="1294">
      <formula>$AC204=2</formula>
    </cfRule>
  </conditionalFormatting>
  <conditionalFormatting sqref="U204:U205">
    <cfRule type="expression" dxfId="2169" priority="1293">
      <formula>$AC204=2</formula>
    </cfRule>
  </conditionalFormatting>
  <conditionalFormatting sqref="U204:U205">
    <cfRule type="expression" dxfId="2168" priority="1292">
      <formula>U204&gt;F204</formula>
    </cfRule>
  </conditionalFormatting>
  <conditionalFormatting sqref="Q207:R208">
    <cfRule type="expression" dxfId="2167" priority="1286">
      <formula>$AE207=4</formula>
    </cfRule>
    <cfRule type="expression" dxfId="2166" priority="1287">
      <formula>$AE207=3</formula>
    </cfRule>
    <cfRule type="expression" dxfId="2165" priority="1288">
      <formula>$AE207=2</formula>
    </cfRule>
    <cfRule type="expression" dxfId="2164" priority="1289">
      <formula>$AE207=1</formula>
    </cfRule>
  </conditionalFormatting>
  <conditionalFormatting sqref="X207:Y208">
    <cfRule type="expression" dxfId="2163" priority="1282">
      <formula>$AF207=4</formula>
    </cfRule>
    <cfRule type="expression" dxfId="2162" priority="1283">
      <formula>$AF207=3</formula>
    </cfRule>
    <cfRule type="expression" dxfId="2161" priority="1284">
      <formula>$AF207=2</formula>
    </cfRule>
    <cfRule type="expression" dxfId="2160" priority="1285">
      <formula>$AF207=1</formula>
    </cfRule>
  </conditionalFormatting>
  <conditionalFormatting sqref="N207:N208">
    <cfRule type="expression" dxfId="2159" priority="1281">
      <formula>$AC207=2</formula>
    </cfRule>
  </conditionalFormatting>
  <conditionalFormatting sqref="N207:N208">
    <cfRule type="expression" dxfId="2158" priority="1280">
      <formula>N207&gt;F207</formula>
    </cfRule>
  </conditionalFormatting>
  <conditionalFormatting sqref="G207:G208">
    <cfRule type="expression" dxfId="2157" priority="1267">
      <formula>G207&gt;F207</formula>
    </cfRule>
  </conditionalFormatting>
  <conditionalFormatting sqref="J207:K208">
    <cfRule type="expression" dxfId="2156" priority="1271">
      <formula>$AD207=4</formula>
    </cfRule>
    <cfRule type="expression" dxfId="2155" priority="1272">
      <formula>$AD207=3</formula>
    </cfRule>
    <cfRule type="expression" dxfId="2154" priority="1273">
      <formula>$AD207=2</formula>
    </cfRule>
    <cfRule type="expression" dxfId="2153" priority="1274">
      <formula>$AD207=1</formula>
    </cfRule>
  </conditionalFormatting>
  <conditionalFormatting sqref="J207:K208">
    <cfRule type="expression" dxfId="2152" priority="1270">
      <formula>$AC207=2</formula>
    </cfRule>
  </conditionalFormatting>
  <conditionalFormatting sqref="L207:L208">
    <cfRule type="expression" dxfId="2151" priority="1269">
      <formula>$AC207=2</formula>
    </cfRule>
  </conditionalFormatting>
  <conditionalFormatting sqref="G207:G208">
    <cfRule type="expression" dxfId="2150" priority="1268">
      <formula>$AC207=2</formula>
    </cfRule>
  </conditionalFormatting>
  <conditionalFormatting sqref="O207:O208">
    <cfRule type="expression" dxfId="2149" priority="1266">
      <formula>$AC207=2</formula>
    </cfRule>
  </conditionalFormatting>
  <conditionalFormatting sqref="V207:V208">
    <cfRule type="expression" dxfId="2148" priority="1265">
      <formula>$AC207=2</formula>
    </cfRule>
  </conditionalFormatting>
  <conditionalFormatting sqref="U207:U208">
    <cfRule type="expression" dxfId="2147" priority="1264">
      <formula>$AC207=2</formula>
    </cfRule>
  </conditionalFormatting>
  <conditionalFormatting sqref="U207:U208">
    <cfRule type="expression" dxfId="2146" priority="1263">
      <formula>U207&gt;F207</formula>
    </cfRule>
  </conditionalFormatting>
  <conditionalFormatting sqref="G56">
    <cfRule type="expression" dxfId="2145" priority="1258">
      <formula>$AC56=2</formula>
    </cfRule>
  </conditionalFormatting>
  <conditionalFormatting sqref="G56">
    <cfRule type="expression" dxfId="2144" priority="1257">
      <formula>G56&gt;F56</formula>
    </cfRule>
  </conditionalFormatting>
  <conditionalFormatting sqref="G119">
    <cfRule type="expression" dxfId="2143" priority="1256">
      <formula>$AC119=2</formula>
    </cfRule>
  </conditionalFormatting>
  <conditionalFormatting sqref="G119">
    <cfRule type="expression" dxfId="2142" priority="1255">
      <formula>G119&gt;F119</formula>
    </cfRule>
  </conditionalFormatting>
  <conditionalFormatting sqref="G123">
    <cfRule type="expression" dxfId="2141" priority="1254">
      <formula>$AC123=2</formula>
    </cfRule>
  </conditionalFormatting>
  <conditionalFormatting sqref="G123">
    <cfRule type="expression" dxfId="2140" priority="1253">
      <formula>G123&gt;F123</formula>
    </cfRule>
  </conditionalFormatting>
  <conditionalFormatting sqref="G127">
    <cfRule type="expression" dxfId="2139" priority="1252">
      <formula>$AC127=2</formula>
    </cfRule>
  </conditionalFormatting>
  <conditionalFormatting sqref="G127">
    <cfRule type="expression" dxfId="2138" priority="1251">
      <formula>G127&gt;F127</formula>
    </cfRule>
  </conditionalFormatting>
  <conditionalFormatting sqref="G131">
    <cfRule type="expression" dxfId="2137" priority="1250">
      <formula>$AC131=2</formula>
    </cfRule>
  </conditionalFormatting>
  <conditionalFormatting sqref="G131">
    <cfRule type="expression" dxfId="2136" priority="1249">
      <formula>G131&gt;F131</formula>
    </cfRule>
  </conditionalFormatting>
  <conditionalFormatting sqref="G167">
    <cfRule type="expression" dxfId="2135" priority="1248">
      <formula>$AC167=2</formula>
    </cfRule>
  </conditionalFormatting>
  <conditionalFormatting sqref="G167">
    <cfRule type="expression" dxfId="2134" priority="1247">
      <formula>G167&gt;F167</formula>
    </cfRule>
  </conditionalFormatting>
  <conditionalFormatting sqref="G175">
    <cfRule type="expression" dxfId="2133" priority="1244">
      <formula>$AC175=2</formula>
    </cfRule>
  </conditionalFormatting>
  <conditionalFormatting sqref="G175">
    <cfRule type="expression" dxfId="2132" priority="1243">
      <formula>G175&gt;F175</formula>
    </cfRule>
  </conditionalFormatting>
  <conditionalFormatting sqref="G179">
    <cfRule type="expression" dxfId="2131" priority="1242">
      <formula>$AC179=2</formula>
    </cfRule>
  </conditionalFormatting>
  <conditionalFormatting sqref="G179">
    <cfRule type="expression" dxfId="2130" priority="1241">
      <formula>G179&gt;F179</formula>
    </cfRule>
  </conditionalFormatting>
  <conditionalFormatting sqref="G185">
    <cfRule type="expression" dxfId="2129" priority="1240">
      <formula>$AC185=2</formula>
    </cfRule>
  </conditionalFormatting>
  <conditionalFormatting sqref="G185">
    <cfRule type="expression" dxfId="2128" priority="1239">
      <formula>G185&gt;F185</formula>
    </cfRule>
  </conditionalFormatting>
  <conditionalFormatting sqref="G188">
    <cfRule type="expression" dxfId="2127" priority="1238">
      <formula>$AC188=2</formula>
    </cfRule>
  </conditionalFormatting>
  <conditionalFormatting sqref="G188">
    <cfRule type="expression" dxfId="2126" priority="1237">
      <formula>G188&gt;F188</formula>
    </cfRule>
  </conditionalFormatting>
  <conditionalFormatting sqref="L225">
    <cfRule type="expression" dxfId="2125" priority="1236">
      <formula>$AC225=2</formula>
    </cfRule>
  </conditionalFormatting>
  <conditionalFormatting sqref="J225">
    <cfRule type="expression" dxfId="2124" priority="1232">
      <formula>$AD225=4</formula>
    </cfRule>
    <cfRule type="expression" dxfId="2123" priority="1233">
      <formula>$AD225=3</formula>
    </cfRule>
    <cfRule type="expression" dxfId="2122" priority="1234">
      <formula>$AD225=2</formula>
    </cfRule>
    <cfRule type="expression" dxfId="2121" priority="1235">
      <formula>$AD225=1</formula>
    </cfRule>
  </conditionalFormatting>
  <conditionalFormatting sqref="Q225:R225">
    <cfRule type="expression" dxfId="2120" priority="1228">
      <formula>$AE225=4</formula>
    </cfRule>
    <cfRule type="expression" dxfId="2119" priority="1229">
      <formula>$AE225=3</formula>
    </cfRule>
    <cfRule type="expression" dxfId="2118" priority="1230">
      <formula>$AE225=2</formula>
    </cfRule>
    <cfRule type="expression" dxfId="2117" priority="1231">
      <formula>$AE225=1</formula>
    </cfRule>
  </conditionalFormatting>
  <conditionalFormatting sqref="X225:Y225">
    <cfRule type="expression" dxfId="2116" priority="1224">
      <formula>$AF225=4</formula>
    </cfRule>
    <cfRule type="expression" dxfId="2115" priority="1225">
      <formula>$AF225=3</formula>
    </cfRule>
    <cfRule type="expression" dxfId="2114" priority="1226">
      <formula>$AF225=2</formula>
    </cfRule>
    <cfRule type="expression" dxfId="2113" priority="1227">
      <formula>$AF225=1</formula>
    </cfRule>
  </conditionalFormatting>
  <conditionalFormatting sqref="J225">
    <cfRule type="expression" dxfId="2112" priority="1223">
      <formula>$AC225=2</formula>
    </cfRule>
  </conditionalFormatting>
  <conditionalFormatting sqref="N225">
    <cfRule type="expression" dxfId="2111" priority="1222">
      <formula>N225&gt;F225</formula>
    </cfRule>
  </conditionalFormatting>
  <conditionalFormatting sqref="U225">
    <cfRule type="expression" dxfId="2110" priority="1221">
      <formula>U225&gt;F225</formula>
    </cfRule>
  </conditionalFormatting>
  <conditionalFormatting sqref="K225">
    <cfRule type="expression" dxfId="2109" priority="1213">
      <formula>$AD225=4</formula>
    </cfRule>
    <cfRule type="expression" dxfId="2108" priority="1214">
      <formula>$AD225=3</formula>
    </cfRule>
    <cfRule type="expression" dxfId="2107" priority="1215">
      <formula>$AD225=2</formula>
    </cfRule>
    <cfRule type="expression" dxfId="2106" priority="1216">
      <formula>$AD225=1</formula>
    </cfRule>
  </conditionalFormatting>
  <conditionalFormatting sqref="K225">
    <cfRule type="expression" dxfId="2105" priority="1212">
      <formula>$AC225=2</formula>
    </cfRule>
  </conditionalFormatting>
  <conditionalFormatting sqref="Z225">
    <cfRule type="expression" dxfId="2104" priority="1211">
      <formula>$AC225=2</formula>
    </cfRule>
  </conditionalFormatting>
  <conditionalFormatting sqref="X197:Y197">
    <cfRule type="expression" dxfId="2103" priority="1199">
      <formula>$AF197=4</formula>
    </cfRule>
    <cfRule type="expression" dxfId="2102" priority="1200">
      <formula>$AF197=3</formula>
    </cfRule>
    <cfRule type="expression" dxfId="2101" priority="1201">
      <formula>$AF197=2</formula>
    </cfRule>
    <cfRule type="expression" dxfId="2100" priority="1202">
      <formula>$AF197=1</formula>
    </cfRule>
  </conditionalFormatting>
  <conditionalFormatting sqref="AZ197">
    <cfRule type="expression" dxfId="2099" priority="1198">
      <formula>$AC197=2</formula>
    </cfRule>
  </conditionalFormatting>
  <conditionalFormatting sqref="J199:K199">
    <cfRule type="expression" dxfId="2098" priority="1183">
      <formula>$AD199=4</formula>
    </cfRule>
    <cfRule type="expression" dxfId="2097" priority="1184">
      <formula>$AD199=3</formula>
    </cfRule>
    <cfRule type="expression" dxfId="2096" priority="1185">
      <formula>$AD199=2</formula>
    </cfRule>
    <cfRule type="expression" dxfId="2095" priority="1186">
      <formula>$AD199=1</formula>
    </cfRule>
  </conditionalFormatting>
  <conditionalFormatting sqref="Q199:R199">
    <cfRule type="expression" dxfId="2094" priority="1179">
      <formula>$AE199=4</formula>
    </cfRule>
    <cfRule type="expression" dxfId="2093" priority="1180">
      <formula>$AE199=3</formula>
    </cfRule>
    <cfRule type="expression" dxfId="2092" priority="1181">
      <formula>$AE199=2</formula>
    </cfRule>
    <cfRule type="expression" dxfId="2091" priority="1182">
      <formula>$AE199=1</formula>
    </cfRule>
  </conditionalFormatting>
  <conditionalFormatting sqref="X199:Y199">
    <cfRule type="expression" dxfId="2090" priority="1175">
      <formula>$AF199=4</formula>
    </cfRule>
    <cfRule type="expression" dxfId="2089" priority="1176">
      <formula>$AF199=3</formula>
    </cfRule>
    <cfRule type="expression" dxfId="2088" priority="1177">
      <formula>$AF199=2</formula>
    </cfRule>
    <cfRule type="expression" dxfId="2087" priority="1178">
      <formula>$AF199=1</formula>
    </cfRule>
  </conditionalFormatting>
  <conditionalFormatting sqref="AZ199">
    <cfRule type="expression" dxfId="2086" priority="1174">
      <formula>$AC199=2</formula>
    </cfRule>
  </conditionalFormatting>
  <conditionalFormatting sqref="G199">
    <cfRule type="expression" dxfId="2085" priority="1173">
      <formula>G199&gt;F199</formula>
    </cfRule>
  </conditionalFormatting>
  <conditionalFormatting sqref="N199">
    <cfRule type="expression" dxfId="2084" priority="1172">
      <formula>N199&gt;F199</formula>
    </cfRule>
  </conditionalFormatting>
  <conditionalFormatting sqref="U199">
    <cfRule type="expression" dxfId="2083" priority="1171">
      <formula>U199&gt;F199</formula>
    </cfRule>
  </conditionalFormatting>
  <conditionalFormatting sqref="O212">
    <cfRule type="expression" dxfId="2082" priority="1162">
      <formula>$AC212=2</formula>
    </cfRule>
  </conditionalFormatting>
  <conditionalFormatting sqref="O213">
    <cfRule type="expression" dxfId="2081" priority="1161">
      <formula>$AC213=2</formula>
    </cfRule>
  </conditionalFormatting>
  <conditionalFormatting sqref="O214">
    <cfRule type="expression" dxfId="2080" priority="1160">
      <formula>$AC214=2</formula>
    </cfRule>
  </conditionalFormatting>
  <conditionalFormatting sqref="O215:O225">
    <cfRule type="expression" dxfId="2079" priority="1159">
      <formula>$AC215=2</formula>
    </cfRule>
  </conditionalFormatting>
  <conditionalFormatting sqref="V212:V225">
    <cfRule type="expression" dxfId="2078" priority="1158">
      <formula>$AC212=2</formula>
    </cfRule>
  </conditionalFormatting>
  <conditionalFormatting sqref="Q63:R63">
    <cfRule type="expression" dxfId="2077" priority="1154">
      <formula>$AE63=4</formula>
    </cfRule>
    <cfRule type="expression" dxfId="2076" priority="1155">
      <formula>$AE63=3</formula>
    </cfRule>
    <cfRule type="expression" dxfId="2075" priority="1156">
      <formula>$AE63=2</formula>
    </cfRule>
    <cfRule type="expression" dxfId="2074" priority="1157">
      <formula>$AE63=1</formula>
    </cfRule>
  </conditionalFormatting>
  <conditionalFormatting sqref="Q63:R63">
    <cfRule type="expression" dxfId="2073" priority="1153">
      <formula>$AC63=2</formula>
    </cfRule>
  </conditionalFormatting>
  <conditionalFormatting sqref="U63">
    <cfRule type="expression" dxfId="2072" priority="1152">
      <formula>U63&gt;F63</formula>
    </cfRule>
  </conditionalFormatting>
  <conditionalFormatting sqref="O63">
    <cfRule type="expression" dxfId="2071" priority="1147">
      <formula>$AC63=2</formula>
    </cfRule>
  </conditionalFormatting>
  <conditionalFormatting sqref="V63">
    <cfRule type="expression" dxfId="2070" priority="1146">
      <formula>$AC63=2</formula>
    </cfRule>
  </conditionalFormatting>
  <conditionalFormatting sqref="Q92:R92">
    <cfRule type="expression" dxfId="2069" priority="1142">
      <formula>$AE92=4</formula>
    </cfRule>
    <cfRule type="expression" dxfId="2068" priority="1143">
      <formula>$AE92=3</formula>
    </cfRule>
    <cfRule type="expression" dxfId="2067" priority="1144">
      <formula>$AE92=2</formula>
    </cfRule>
    <cfRule type="expression" dxfId="2066" priority="1145">
      <formula>$AE92=1</formula>
    </cfRule>
  </conditionalFormatting>
  <conditionalFormatting sqref="Q92:R92">
    <cfRule type="expression" dxfId="2065" priority="1141">
      <formula>$AC92=2</formula>
    </cfRule>
  </conditionalFormatting>
  <conditionalFormatting sqref="U92">
    <cfRule type="expression" dxfId="2064" priority="1140">
      <formula>U92&gt;F92</formula>
    </cfRule>
  </conditionalFormatting>
  <conditionalFormatting sqref="O92">
    <cfRule type="expression" dxfId="2063" priority="1135">
      <formula>$AC92=2</formula>
    </cfRule>
  </conditionalFormatting>
  <conditionalFormatting sqref="V92">
    <cfRule type="expression" dxfId="2062" priority="1134">
      <formula>$AC92=2</formula>
    </cfRule>
  </conditionalFormatting>
  <conditionalFormatting sqref="Q101:R101">
    <cfRule type="expression" dxfId="2061" priority="1130">
      <formula>$AE101=4</formula>
    </cfRule>
    <cfRule type="expression" dxfId="2060" priority="1131">
      <formula>$AE101=3</formula>
    </cfRule>
    <cfRule type="expression" dxfId="2059" priority="1132">
      <formula>$AE101=2</formula>
    </cfRule>
    <cfRule type="expression" dxfId="2058" priority="1133">
      <formula>$AE101=1</formula>
    </cfRule>
  </conditionalFormatting>
  <conditionalFormatting sqref="Q101:R101">
    <cfRule type="expression" dxfId="2057" priority="1129">
      <formula>$AC101=2</formula>
    </cfRule>
  </conditionalFormatting>
  <conditionalFormatting sqref="U101">
    <cfRule type="expression" dxfId="2056" priority="1128">
      <formula>U101&gt;F101</formula>
    </cfRule>
  </conditionalFormatting>
  <conditionalFormatting sqref="O101">
    <cfRule type="expression" dxfId="2055" priority="1123">
      <formula>$AC101=2</formula>
    </cfRule>
  </conditionalFormatting>
  <conditionalFormatting sqref="V101">
    <cfRule type="expression" dxfId="2054" priority="1122">
      <formula>$AC101=2</formula>
    </cfRule>
  </conditionalFormatting>
  <conditionalFormatting sqref="Q115:R115">
    <cfRule type="expression" dxfId="2053" priority="1118">
      <formula>$AE115=4</formula>
    </cfRule>
    <cfRule type="expression" dxfId="2052" priority="1119">
      <formula>$AE115=3</formula>
    </cfRule>
    <cfRule type="expression" dxfId="2051" priority="1120">
      <formula>$AE115=2</formula>
    </cfRule>
    <cfRule type="expression" dxfId="2050" priority="1121">
      <formula>$AE115=1</formula>
    </cfRule>
  </conditionalFormatting>
  <conditionalFormatting sqref="Q115:R115">
    <cfRule type="expression" dxfId="2049" priority="1117">
      <formula>$AC115=2</formula>
    </cfRule>
  </conditionalFormatting>
  <conditionalFormatting sqref="U115">
    <cfRule type="expression" dxfId="2048" priority="1116">
      <formula>U115&gt;F115</formula>
    </cfRule>
  </conditionalFormatting>
  <conditionalFormatting sqref="O115">
    <cfRule type="expression" dxfId="2047" priority="1111">
      <formula>$AC115=2</formula>
    </cfRule>
  </conditionalFormatting>
  <conditionalFormatting sqref="V115">
    <cfRule type="expression" dxfId="2046" priority="1110">
      <formula>$AC115=2</formula>
    </cfRule>
  </conditionalFormatting>
  <conditionalFormatting sqref="Q145:R145">
    <cfRule type="expression" dxfId="2045" priority="1106">
      <formula>$AE145=4</formula>
    </cfRule>
    <cfRule type="expression" dxfId="2044" priority="1107">
      <formula>$AE145=3</formula>
    </cfRule>
    <cfRule type="expression" dxfId="2043" priority="1108">
      <formula>$AE145=2</formula>
    </cfRule>
    <cfRule type="expression" dxfId="2042" priority="1109">
      <formula>$AE145=1</formula>
    </cfRule>
  </conditionalFormatting>
  <conditionalFormatting sqref="Q145:R145">
    <cfRule type="expression" dxfId="2041" priority="1105">
      <formula>$AC145=2</formula>
    </cfRule>
  </conditionalFormatting>
  <conditionalFormatting sqref="U145">
    <cfRule type="expression" dxfId="2040" priority="1104">
      <formula>U145&gt;F145</formula>
    </cfRule>
  </conditionalFormatting>
  <conditionalFormatting sqref="O145">
    <cfRule type="expression" dxfId="2039" priority="1099">
      <formula>$AC145=2</formula>
    </cfRule>
  </conditionalFormatting>
  <conditionalFormatting sqref="V145">
    <cfRule type="expression" dxfId="2038" priority="1098">
      <formula>$AC145=2</formula>
    </cfRule>
  </conditionalFormatting>
  <conditionalFormatting sqref="Q160:R160">
    <cfRule type="expression" dxfId="2037" priority="1094">
      <formula>$AE160=4</formula>
    </cfRule>
    <cfRule type="expression" dxfId="2036" priority="1095">
      <formula>$AE160=3</formula>
    </cfRule>
    <cfRule type="expression" dxfId="2035" priority="1096">
      <formula>$AE160=2</formula>
    </cfRule>
    <cfRule type="expression" dxfId="2034" priority="1097">
      <formula>$AE160=1</formula>
    </cfRule>
  </conditionalFormatting>
  <conditionalFormatting sqref="Q160:R160">
    <cfRule type="expression" dxfId="2033" priority="1093">
      <formula>$AC160=2</formula>
    </cfRule>
  </conditionalFormatting>
  <conditionalFormatting sqref="U160">
    <cfRule type="expression" dxfId="2032" priority="1092">
      <formula>U160&gt;F160</formula>
    </cfRule>
  </conditionalFormatting>
  <conditionalFormatting sqref="O160">
    <cfRule type="expression" dxfId="2031" priority="1087">
      <formula>$AC160=2</formula>
    </cfRule>
  </conditionalFormatting>
  <conditionalFormatting sqref="V160">
    <cfRule type="expression" dxfId="2030" priority="1086">
      <formula>$AC160=2</formula>
    </cfRule>
  </conditionalFormatting>
  <conditionalFormatting sqref="Q192:R192">
    <cfRule type="expression" dxfId="2029" priority="1082">
      <formula>$AE192=4</formula>
    </cfRule>
    <cfRule type="expression" dxfId="2028" priority="1083">
      <formula>$AE192=3</formula>
    </cfRule>
    <cfRule type="expression" dxfId="2027" priority="1084">
      <formula>$AE192=2</formula>
    </cfRule>
    <cfRule type="expression" dxfId="2026" priority="1085">
      <formula>$AE192=1</formula>
    </cfRule>
  </conditionalFormatting>
  <conditionalFormatting sqref="Q192:R192">
    <cfRule type="expression" dxfId="2025" priority="1081">
      <formula>$AC192=2</formula>
    </cfRule>
  </conditionalFormatting>
  <conditionalFormatting sqref="U192">
    <cfRule type="expression" dxfId="2024" priority="1080">
      <formula>U192&gt;F192</formula>
    </cfRule>
  </conditionalFormatting>
  <conditionalFormatting sqref="O192">
    <cfRule type="expression" dxfId="2023" priority="1075">
      <formula>$AC192=2</formula>
    </cfRule>
  </conditionalFormatting>
  <conditionalFormatting sqref="V192">
    <cfRule type="expression" dxfId="2022" priority="1074">
      <formula>$AC192=2</formula>
    </cfRule>
  </conditionalFormatting>
  <conditionalFormatting sqref="Q209:R209">
    <cfRule type="expression" dxfId="2021" priority="1070">
      <formula>$AE209=4</formula>
    </cfRule>
    <cfRule type="expression" dxfId="2020" priority="1071">
      <formula>$AE209=3</formula>
    </cfRule>
    <cfRule type="expression" dxfId="2019" priority="1072">
      <formula>$AE209=2</formula>
    </cfRule>
    <cfRule type="expression" dxfId="2018" priority="1073">
      <formula>$AE209=1</formula>
    </cfRule>
  </conditionalFormatting>
  <conditionalFormatting sqref="Q209:R209">
    <cfRule type="expression" dxfId="2017" priority="1069">
      <formula>$AC209=2</formula>
    </cfRule>
  </conditionalFormatting>
  <conditionalFormatting sqref="U209">
    <cfRule type="expression" dxfId="2016" priority="1068">
      <formula>U209&gt;F209</formula>
    </cfRule>
  </conditionalFormatting>
  <conditionalFormatting sqref="O209">
    <cfRule type="expression" dxfId="2015" priority="1063">
      <formula>$AC209=2</formula>
    </cfRule>
  </conditionalFormatting>
  <conditionalFormatting sqref="V209">
    <cfRule type="expression" dxfId="2014" priority="1062">
      <formula>$AC209=2</formula>
    </cfRule>
  </conditionalFormatting>
  <conditionalFormatting sqref="Q226:R226">
    <cfRule type="expression" dxfId="2013" priority="1058">
      <formula>$AE226=4</formula>
    </cfRule>
    <cfRule type="expression" dxfId="2012" priority="1059">
      <formula>$AE226=3</formula>
    </cfRule>
    <cfRule type="expression" dxfId="2011" priority="1060">
      <formula>$AE226=2</formula>
    </cfRule>
    <cfRule type="expression" dxfId="2010" priority="1061">
      <formula>$AE226=1</formula>
    </cfRule>
  </conditionalFormatting>
  <conditionalFormatting sqref="U226">
    <cfRule type="expression" dxfId="2009" priority="1056">
      <formula>U226&gt;F226</formula>
    </cfRule>
  </conditionalFormatting>
  <conditionalFormatting sqref="O226">
    <cfRule type="expression" dxfId="2008" priority="1051">
      <formula>$AC226=2</formula>
    </cfRule>
  </conditionalFormatting>
  <conditionalFormatting sqref="V226">
    <cfRule type="expression" dxfId="2007" priority="1050">
      <formula>$AC226=2</formula>
    </cfRule>
  </conditionalFormatting>
  <conditionalFormatting sqref="N56">
    <cfRule type="expression" dxfId="2006" priority="1049">
      <formula>$AC56=2</formula>
    </cfRule>
  </conditionalFormatting>
  <conditionalFormatting sqref="N56">
    <cfRule type="expression" dxfId="2005" priority="1048">
      <formula>N56&gt;F56</formula>
    </cfRule>
  </conditionalFormatting>
  <conditionalFormatting sqref="N119">
    <cfRule type="expression" dxfId="2004" priority="1045">
      <formula>$AC119=2</formula>
    </cfRule>
  </conditionalFormatting>
  <conditionalFormatting sqref="N119">
    <cfRule type="expression" dxfId="2003" priority="1044">
      <formula>N119&gt;F119</formula>
    </cfRule>
  </conditionalFormatting>
  <conditionalFormatting sqref="N123">
    <cfRule type="expression" dxfId="2002" priority="1041">
      <formula>$AC123=2</formula>
    </cfRule>
  </conditionalFormatting>
  <conditionalFormatting sqref="N123">
    <cfRule type="expression" dxfId="2001" priority="1040">
      <formula>N123&gt;F123</formula>
    </cfRule>
  </conditionalFormatting>
  <conditionalFormatting sqref="N127">
    <cfRule type="expression" dxfId="2000" priority="1037">
      <formula>$AC127=2</formula>
    </cfRule>
  </conditionalFormatting>
  <conditionalFormatting sqref="N127">
    <cfRule type="expression" dxfId="1999" priority="1036">
      <formula>N127&gt;F127</formula>
    </cfRule>
  </conditionalFormatting>
  <conditionalFormatting sqref="N131">
    <cfRule type="expression" dxfId="1998" priority="1033">
      <formula>$AC131=2</formula>
    </cfRule>
  </conditionalFormatting>
  <conditionalFormatting sqref="N131">
    <cfRule type="expression" dxfId="1997" priority="1032">
      <formula>N131&gt;F131</formula>
    </cfRule>
  </conditionalFormatting>
  <conditionalFormatting sqref="N167">
    <cfRule type="expression" dxfId="1996" priority="1029">
      <formula>$AC167=2</formula>
    </cfRule>
  </conditionalFormatting>
  <conditionalFormatting sqref="N167">
    <cfRule type="expression" dxfId="1995" priority="1028">
      <formula>N167&gt;F167</formula>
    </cfRule>
  </conditionalFormatting>
  <conditionalFormatting sqref="N175">
    <cfRule type="expression" dxfId="1994" priority="1021">
      <formula>$AC175=2</formula>
    </cfRule>
  </conditionalFormatting>
  <conditionalFormatting sqref="N175">
    <cfRule type="expression" dxfId="1993" priority="1020">
      <formula>N175&gt;F175</formula>
    </cfRule>
  </conditionalFormatting>
  <conditionalFormatting sqref="N179">
    <cfRule type="expression" dxfId="1992" priority="1017">
      <formula>$AC179=2</formula>
    </cfRule>
  </conditionalFormatting>
  <conditionalFormatting sqref="N179">
    <cfRule type="expression" dxfId="1991" priority="1016">
      <formula>N179&gt;F179</formula>
    </cfRule>
  </conditionalFormatting>
  <conditionalFormatting sqref="N185">
    <cfRule type="expression" dxfId="1990" priority="1013">
      <formula>$AC185=2</formula>
    </cfRule>
  </conditionalFormatting>
  <conditionalFormatting sqref="N185">
    <cfRule type="expression" dxfId="1989" priority="1012">
      <formula>N185&gt;F185</formula>
    </cfRule>
  </conditionalFormatting>
  <conditionalFormatting sqref="N188">
    <cfRule type="expression" dxfId="1988" priority="1009">
      <formula>$AC188=2</formula>
    </cfRule>
  </conditionalFormatting>
  <conditionalFormatting sqref="N188">
    <cfRule type="expression" dxfId="1987" priority="1008">
      <formula>N188&gt;F188</formula>
    </cfRule>
  </conditionalFormatting>
  <conditionalFormatting sqref="U56">
    <cfRule type="expression" dxfId="1986" priority="1005">
      <formula>$AC56=2</formula>
    </cfRule>
  </conditionalFormatting>
  <conditionalFormatting sqref="U56">
    <cfRule type="expression" dxfId="1985" priority="1004">
      <formula>U56&gt;F56</formula>
    </cfRule>
  </conditionalFormatting>
  <conditionalFormatting sqref="U119">
    <cfRule type="expression" dxfId="1984" priority="1001">
      <formula>$AC119=2</formula>
    </cfRule>
  </conditionalFormatting>
  <conditionalFormatting sqref="U119">
    <cfRule type="expression" dxfId="1983" priority="1000">
      <formula>U119&gt;F119</formula>
    </cfRule>
  </conditionalFormatting>
  <conditionalFormatting sqref="U123">
    <cfRule type="expression" dxfId="1982" priority="997">
      <formula>$AC123=2</formula>
    </cfRule>
  </conditionalFormatting>
  <conditionalFormatting sqref="U123">
    <cfRule type="expression" dxfId="1981" priority="996">
      <formula>U123&gt;F123</formula>
    </cfRule>
  </conditionalFormatting>
  <conditionalFormatting sqref="U127">
    <cfRule type="expression" dxfId="1980" priority="993">
      <formula>$AC127=2</formula>
    </cfRule>
  </conditionalFormatting>
  <conditionalFormatting sqref="U127">
    <cfRule type="expression" dxfId="1979" priority="992">
      <formula>U127&gt;F127</formula>
    </cfRule>
  </conditionalFormatting>
  <conditionalFormatting sqref="U131">
    <cfRule type="expression" dxfId="1978" priority="989">
      <formula>$AC131=2</formula>
    </cfRule>
  </conditionalFormatting>
  <conditionalFormatting sqref="U131">
    <cfRule type="expression" dxfId="1977" priority="988">
      <formula>U131&gt;F131</formula>
    </cfRule>
  </conditionalFormatting>
  <conditionalFormatting sqref="U167">
    <cfRule type="expression" dxfId="1976" priority="985">
      <formula>$AC167=2</formula>
    </cfRule>
  </conditionalFormatting>
  <conditionalFormatting sqref="U167">
    <cfRule type="expression" dxfId="1975" priority="984">
      <formula>U167&gt;F167</formula>
    </cfRule>
  </conditionalFormatting>
  <conditionalFormatting sqref="U175">
    <cfRule type="expression" dxfId="1974" priority="977">
      <formula>$AC175=2</formula>
    </cfRule>
  </conditionalFormatting>
  <conditionalFormatting sqref="U175">
    <cfRule type="expression" dxfId="1973" priority="976">
      <formula>U175&gt;F175</formula>
    </cfRule>
  </conditionalFormatting>
  <conditionalFormatting sqref="U179">
    <cfRule type="expression" dxfId="1972" priority="973">
      <formula>$AC179=2</formula>
    </cfRule>
  </conditionalFormatting>
  <conditionalFormatting sqref="U179">
    <cfRule type="expression" dxfId="1971" priority="972">
      <formula>U179&gt;F179</formula>
    </cfRule>
  </conditionalFormatting>
  <conditionalFormatting sqref="U185">
    <cfRule type="expression" dxfId="1970" priority="969">
      <formula>$AC185=2</formula>
    </cfRule>
  </conditionalFormatting>
  <conditionalFormatting sqref="U185">
    <cfRule type="expression" dxfId="1969" priority="968">
      <formula>U185&gt;F185</formula>
    </cfRule>
  </conditionalFormatting>
  <conditionalFormatting sqref="U188">
    <cfRule type="expression" dxfId="1968" priority="965">
      <formula>$AC188=2</formula>
    </cfRule>
  </conditionalFormatting>
  <conditionalFormatting sqref="U188">
    <cfRule type="expression" dxfId="1967" priority="964">
      <formula>U188&gt;F188</formula>
    </cfRule>
  </conditionalFormatting>
  <conditionalFormatting sqref="AZ135">
    <cfRule type="expression" dxfId="1966" priority="961">
      <formula>$AC135=2</formula>
    </cfRule>
  </conditionalFormatting>
  <conditionalFormatting sqref="Q135:R135">
    <cfRule type="expression" dxfId="1965" priority="955">
      <formula>$AE135=4</formula>
    </cfRule>
    <cfRule type="expression" dxfId="1964" priority="956">
      <formula>$AE135=3</formula>
    </cfRule>
    <cfRule type="expression" dxfId="1963" priority="957">
      <formula>$AE135=2</formula>
    </cfRule>
    <cfRule type="expression" dxfId="1962" priority="958">
      <formula>$AE135=1</formula>
    </cfRule>
  </conditionalFormatting>
  <conditionalFormatting sqref="X135:Y135">
    <cfRule type="expression" dxfId="1961" priority="951">
      <formula>$AF135=4</formula>
    </cfRule>
    <cfRule type="expression" dxfId="1960" priority="952">
      <formula>$AF135=3</formula>
    </cfRule>
    <cfRule type="expression" dxfId="1959" priority="953">
      <formula>$AF135=2</formula>
    </cfRule>
    <cfRule type="expression" dxfId="1958" priority="954">
      <formula>$AF135=1</formula>
    </cfRule>
  </conditionalFormatting>
  <conditionalFormatting sqref="N135">
    <cfRule type="expression" dxfId="1957" priority="950">
      <formula>$AC135=2</formula>
    </cfRule>
  </conditionalFormatting>
  <conditionalFormatting sqref="N135">
    <cfRule type="expression" dxfId="1956" priority="949">
      <formula>N135&gt;F135</formula>
    </cfRule>
  </conditionalFormatting>
  <conditionalFormatting sqref="G135">
    <cfRule type="expression" dxfId="1955" priority="936">
      <formula>G135&gt;F135</formula>
    </cfRule>
  </conditionalFormatting>
  <conditionalFormatting sqref="K135">
    <cfRule type="expression" dxfId="1954" priority="940">
      <formula>$AD135=4</formula>
    </cfRule>
    <cfRule type="expression" dxfId="1953" priority="941">
      <formula>$AD135=3</formula>
    </cfRule>
    <cfRule type="expression" dxfId="1952" priority="942">
      <formula>$AD135=2</formula>
    </cfRule>
    <cfRule type="expression" dxfId="1951" priority="943">
      <formula>$AD135=1</formula>
    </cfRule>
  </conditionalFormatting>
  <conditionalFormatting sqref="K135">
    <cfRule type="expression" dxfId="1950" priority="939">
      <formula>$AC135=2</formula>
    </cfRule>
  </conditionalFormatting>
  <conditionalFormatting sqref="L135">
    <cfRule type="expression" dxfId="1949" priority="938">
      <formula>$AC135=2</formula>
    </cfRule>
  </conditionalFormatting>
  <conditionalFormatting sqref="G135">
    <cfRule type="expression" dxfId="1948" priority="937">
      <formula>$AC135=2</formula>
    </cfRule>
  </conditionalFormatting>
  <conditionalFormatting sqref="O135">
    <cfRule type="expression" dxfId="1947" priority="935">
      <formula>$AC135=2</formula>
    </cfRule>
  </conditionalFormatting>
  <conditionalFormatting sqref="V135">
    <cfRule type="expression" dxfId="1946" priority="934">
      <formula>$AC135=2</formula>
    </cfRule>
  </conditionalFormatting>
  <conditionalFormatting sqref="U135">
    <cfRule type="expression" dxfId="1945" priority="933">
      <formula>$AC135=2</formula>
    </cfRule>
  </conditionalFormatting>
  <conditionalFormatting sqref="U135">
    <cfRule type="expression" dxfId="1944" priority="932">
      <formula>U135&gt;F135</formula>
    </cfRule>
  </conditionalFormatting>
  <conditionalFormatting sqref="J198:K198">
    <cfRule type="expression" dxfId="1943" priority="926">
      <formula>$AD198=4</formula>
    </cfRule>
    <cfRule type="expression" dxfId="1942" priority="927">
      <formula>$AD198=3</formula>
    </cfRule>
    <cfRule type="expression" dxfId="1941" priority="928">
      <formula>$AD198=2</formula>
    </cfRule>
    <cfRule type="expression" dxfId="1940" priority="929">
      <formula>$AD198=1</formula>
    </cfRule>
  </conditionalFormatting>
  <conditionalFormatting sqref="Q198:R198">
    <cfRule type="expression" dxfId="1939" priority="922">
      <formula>$AE198=4</formula>
    </cfRule>
    <cfRule type="expression" dxfId="1938" priority="923">
      <formula>$AE198=3</formula>
    </cfRule>
    <cfRule type="expression" dxfId="1937" priority="924">
      <formula>$AE198=2</formula>
    </cfRule>
    <cfRule type="expression" dxfId="1936" priority="925">
      <formula>$AE198=1</formula>
    </cfRule>
  </conditionalFormatting>
  <conditionalFormatting sqref="X198:Y198">
    <cfRule type="expression" dxfId="1935" priority="918">
      <formula>$AF198=4</formula>
    </cfRule>
    <cfRule type="expression" dxfId="1934" priority="919">
      <formula>$AF198=3</formula>
    </cfRule>
    <cfRule type="expression" dxfId="1933" priority="920">
      <formula>$AF198=2</formula>
    </cfRule>
    <cfRule type="expression" dxfId="1932" priority="921">
      <formula>$AF198=1</formula>
    </cfRule>
  </conditionalFormatting>
  <conditionalFormatting sqref="AZ198">
    <cfRule type="expression" dxfId="1931" priority="917">
      <formula>$AC198=2</formula>
    </cfRule>
  </conditionalFormatting>
  <conditionalFormatting sqref="G198">
    <cfRule type="expression" dxfId="1930" priority="916">
      <formula>G198&gt;F198</formula>
    </cfRule>
  </conditionalFormatting>
  <conditionalFormatting sqref="N198">
    <cfRule type="expression" dxfId="1929" priority="915">
      <formula>N198&gt;F198</formula>
    </cfRule>
  </conditionalFormatting>
  <conditionalFormatting sqref="U198">
    <cfRule type="expression" dxfId="1928" priority="914">
      <formula>U198&gt;F198</formula>
    </cfRule>
  </conditionalFormatting>
  <conditionalFormatting sqref="Q197:R197">
    <cfRule type="expression" dxfId="1927" priority="902">
      <formula>$AE197=4</formula>
    </cfRule>
    <cfRule type="expression" dxfId="1926" priority="903">
      <formula>$AE197=3</formula>
    </cfRule>
    <cfRule type="expression" dxfId="1925" priority="904">
      <formula>$AE197=2</formula>
    </cfRule>
    <cfRule type="expression" dxfId="1924" priority="905">
      <formula>$AE197=1</formula>
    </cfRule>
  </conditionalFormatting>
  <conditionalFormatting sqref="H197:I197">
    <cfRule type="expression" dxfId="1923" priority="901">
      <formula>$AC197=2</formula>
    </cfRule>
  </conditionalFormatting>
  <conditionalFormatting sqref="J197:K197">
    <cfRule type="expression" dxfId="1922" priority="894">
      <formula>$AD197=4</formula>
    </cfRule>
    <cfRule type="expression" dxfId="1921" priority="895">
      <formula>$AD197=3</formula>
    </cfRule>
    <cfRule type="expression" dxfId="1920" priority="896">
      <formula>$AD197=2</formula>
    </cfRule>
    <cfRule type="expression" dxfId="1919" priority="897">
      <formula>$AD197=1</formula>
    </cfRule>
  </conditionalFormatting>
  <conditionalFormatting sqref="J197:K197">
    <cfRule type="expression" dxfId="1918" priority="893">
      <formula>$AC197=2</formula>
    </cfRule>
  </conditionalFormatting>
  <conditionalFormatting sqref="L197">
    <cfRule type="expression" dxfId="1917" priority="892">
      <formula>$AC197=2</formula>
    </cfRule>
  </conditionalFormatting>
  <conditionalFormatting sqref="O197">
    <cfRule type="expression" dxfId="1916" priority="891">
      <formula>$AC197=2</formula>
    </cfRule>
  </conditionalFormatting>
  <conditionalFormatting sqref="G197">
    <cfRule type="expression" dxfId="1915" priority="890">
      <formula>$AC197=2</formula>
    </cfRule>
  </conditionalFormatting>
  <conditionalFormatting sqref="G197">
    <cfRule type="expression" dxfId="1914" priority="889">
      <formula>G197&gt;F197</formula>
    </cfRule>
  </conditionalFormatting>
  <conditionalFormatting sqref="N197">
    <cfRule type="expression" dxfId="1913" priority="888">
      <formula>$AC197=2</formula>
    </cfRule>
  </conditionalFormatting>
  <conditionalFormatting sqref="N197">
    <cfRule type="expression" dxfId="1912" priority="887">
      <formula>N197&gt;F197</formula>
    </cfRule>
  </conditionalFormatting>
  <conditionalFormatting sqref="U197">
    <cfRule type="expression" dxfId="1911" priority="884">
      <formula>$AC197=2</formula>
    </cfRule>
  </conditionalFormatting>
  <conditionalFormatting sqref="U197">
    <cfRule type="expression" dxfId="1910" priority="883">
      <formula>U197&gt;F197</formula>
    </cfRule>
  </conditionalFormatting>
  <conditionalFormatting sqref="G25:I25">
    <cfRule type="expression" dxfId="1909" priority="880">
      <formula>$AC25=2</formula>
    </cfRule>
  </conditionalFormatting>
  <conditionalFormatting sqref="L25">
    <cfRule type="expression" dxfId="1908" priority="874">
      <formula>$AC25=2</formula>
    </cfRule>
  </conditionalFormatting>
  <conditionalFormatting sqref="G25">
    <cfRule type="expression" dxfId="1907" priority="873">
      <formula>G25&gt;F25</formula>
    </cfRule>
  </conditionalFormatting>
  <conditionalFormatting sqref="J25:K25">
    <cfRule type="expression" dxfId="1906" priority="876">
      <formula>$AD25=4</formula>
    </cfRule>
    <cfRule type="expression" dxfId="1905" priority="877">
      <formula>$AD25=3</formula>
    </cfRule>
    <cfRule type="expression" dxfId="1904" priority="878">
      <formula>$AD25=2</formula>
    </cfRule>
    <cfRule type="expression" dxfId="1903" priority="879">
      <formula>$AD25=1</formula>
    </cfRule>
  </conditionalFormatting>
  <conditionalFormatting sqref="J25:K25">
    <cfRule type="expression" dxfId="1902" priority="875">
      <formula>$AC25=2</formula>
    </cfRule>
  </conditionalFormatting>
  <conditionalFormatting sqref="Q25:R25">
    <cfRule type="expression" dxfId="1901" priority="869">
      <formula>$AE25=4</formula>
    </cfRule>
    <cfRule type="expression" dxfId="1900" priority="870">
      <formula>$AE25=3</formula>
    </cfRule>
    <cfRule type="expression" dxfId="1899" priority="871">
      <formula>$AE25=2</formula>
    </cfRule>
    <cfRule type="expression" dxfId="1898" priority="872">
      <formula>$AE25=1</formula>
    </cfRule>
  </conditionalFormatting>
  <conditionalFormatting sqref="X25:Y25">
    <cfRule type="expression" dxfId="1897" priority="865">
      <formula>$AF25=4</formula>
    </cfRule>
    <cfRule type="expression" dxfId="1896" priority="866">
      <formula>$AF25=3</formula>
    </cfRule>
    <cfRule type="expression" dxfId="1895" priority="867">
      <formula>$AF25=2</formula>
    </cfRule>
    <cfRule type="expression" dxfId="1894" priority="868">
      <formula>$AF25=1</formula>
    </cfRule>
  </conditionalFormatting>
  <conditionalFormatting sqref="N25">
    <cfRule type="expression" dxfId="1893" priority="864">
      <formula>$AC25=2</formula>
    </cfRule>
  </conditionalFormatting>
  <conditionalFormatting sqref="N25">
    <cfRule type="expression" dxfId="1892" priority="863">
      <formula>N25&gt;F25</formula>
    </cfRule>
  </conditionalFormatting>
  <conditionalFormatting sqref="O25">
    <cfRule type="expression" dxfId="1891" priority="857">
      <formula>$AC25=2</formula>
    </cfRule>
  </conditionalFormatting>
  <conditionalFormatting sqref="V25">
    <cfRule type="expression" dxfId="1890" priority="856">
      <formula>$AC25=2</formula>
    </cfRule>
  </conditionalFormatting>
  <conditionalFormatting sqref="U25">
    <cfRule type="expression" dxfId="1889" priority="855">
      <formula>$AC25=2</formula>
    </cfRule>
  </conditionalFormatting>
  <conditionalFormatting sqref="U25">
    <cfRule type="expression" dxfId="1888" priority="854">
      <formula>U25&gt;F25</formula>
    </cfRule>
  </conditionalFormatting>
  <conditionalFormatting sqref="G26:I26">
    <cfRule type="expression" dxfId="1887" priority="851">
      <formula>$AC26=2</formula>
    </cfRule>
  </conditionalFormatting>
  <conditionalFormatting sqref="L26">
    <cfRule type="expression" dxfId="1886" priority="845">
      <formula>$AC26=2</formula>
    </cfRule>
  </conditionalFormatting>
  <conditionalFormatting sqref="G26">
    <cfRule type="expression" dxfId="1885" priority="844">
      <formula>G26&gt;F26</formula>
    </cfRule>
  </conditionalFormatting>
  <conditionalFormatting sqref="J26:K26">
    <cfRule type="expression" dxfId="1884" priority="847">
      <formula>$AD26=4</formula>
    </cfRule>
    <cfRule type="expression" dxfId="1883" priority="848">
      <formula>$AD26=3</formula>
    </cfRule>
    <cfRule type="expression" dxfId="1882" priority="849">
      <formula>$AD26=2</formula>
    </cfRule>
    <cfRule type="expression" dxfId="1881" priority="850">
      <formula>$AD26=1</formula>
    </cfRule>
  </conditionalFormatting>
  <conditionalFormatting sqref="J26:K26">
    <cfRule type="expression" dxfId="1880" priority="846">
      <formula>$AC26=2</formula>
    </cfRule>
  </conditionalFormatting>
  <conditionalFormatting sqref="Q26:R26">
    <cfRule type="expression" dxfId="1879" priority="840">
      <formula>$AE26=4</formula>
    </cfRule>
    <cfRule type="expression" dxfId="1878" priority="841">
      <formula>$AE26=3</formula>
    </cfRule>
    <cfRule type="expression" dxfId="1877" priority="842">
      <formula>$AE26=2</formula>
    </cfRule>
    <cfRule type="expression" dxfId="1876" priority="843">
      <formula>$AE26=1</formula>
    </cfRule>
  </conditionalFormatting>
  <conditionalFormatting sqref="X26:Y26">
    <cfRule type="expression" dxfId="1875" priority="836">
      <formula>$AF26=4</formula>
    </cfRule>
    <cfRule type="expression" dxfId="1874" priority="837">
      <formula>$AF26=3</formula>
    </cfRule>
    <cfRule type="expression" dxfId="1873" priority="838">
      <formula>$AF26=2</formula>
    </cfRule>
    <cfRule type="expression" dxfId="1872" priority="839">
      <formula>$AF26=1</formula>
    </cfRule>
  </conditionalFormatting>
  <conditionalFormatting sqref="N26">
    <cfRule type="expression" dxfId="1871" priority="835">
      <formula>$AC26=2</formula>
    </cfRule>
  </conditionalFormatting>
  <conditionalFormatting sqref="N26">
    <cfRule type="expression" dxfId="1870" priority="834">
      <formula>N26&gt;F26</formula>
    </cfRule>
  </conditionalFormatting>
  <conditionalFormatting sqref="O26">
    <cfRule type="expression" dxfId="1869" priority="828">
      <formula>$AC26=2</formula>
    </cfRule>
  </conditionalFormatting>
  <conditionalFormatting sqref="V26">
    <cfRule type="expression" dxfId="1868" priority="827">
      <formula>$AC26=2</formula>
    </cfRule>
  </conditionalFormatting>
  <conditionalFormatting sqref="U26">
    <cfRule type="expression" dxfId="1867" priority="826">
      <formula>$AC26=2</formula>
    </cfRule>
  </conditionalFormatting>
  <conditionalFormatting sqref="U26">
    <cfRule type="expression" dxfId="1866" priority="825">
      <formula>U26&gt;F26</formula>
    </cfRule>
  </conditionalFormatting>
  <conditionalFormatting sqref="H11:H38 H86:H98 H41:H69 H100:H104 H154:H164 H166:H226 H106:H136 H150:H152 H138:H148 H71:H84">
    <cfRule type="expression" dxfId="1865" priority="822">
      <formula>F11=0</formula>
    </cfRule>
  </conditionalFormatting>
  <conditionalFormatting sqref="I11:I38 I86:I98 I41:I69 I100:I104 I154:I164 I106:I136 I150:I152 I138:I148 I166:I226 I71:I84">
    <cfRule type="expression" dxfId="1864" priority="821">
      <formula>F11=0</formula>
    </cfRule>
  </conditionalFormatting>
  <conditionalFormatting sqref="O86:O98 O100:O104 O11:O38 O191:O226 O154:O164 O166:O189 O106:O136 O150:O152 O138:O148 O41:O84">
    <cfRule type="expression" dxfId="1863" priority="3096">
      <formula>F11=0</formula>
    </cfRule>
  </conditionalFormatting>
  <conditionalFormatting sqref="V86:V98 V100:V104 V11:V14 V191:V226 V154:V164 V166:V189 V106:V136 V150:V152 V138:V148 V16:V38 V41:V84">
    <cfRule type="expression" dxfId="1862" priority="2309">
      <formula>F11=0</formula>
    </cfRule>
  </conditionalFormatting>
  <conditionalFormatting sqref="AZ85">
    <cfRule type="expression" dxfId="1861" priority="818">
      <formula>$AC85=2</formula>
    </cfRule>
  </conditionalFormatting>
  <conditionalFormatting sqref="Q85:R85">
    <cfRule type="expression" dxfId="1860" priority="812">
      <formula>$AE85=4</formula>
    </cfRule>
    <cfRule type="expression" dxfId="1859" priority="813">
      <formula>$AE85=3</formula>
    </cfRule>
    <cfRule type="expression" dxfId="1858" priority="814">
      <formula>$AE85=2</formula>
    </cfRule>
    <cfRule type="expression" dxfId="1857" priority="815">
      <formula>$AE85=1</formula>
    </cfRule>
  </conditionalFormatting>
  <conditionalFormatting sqref="X85:Y85">
    <cfRule type="expression" dxfId="1856" priority="808">
      <formula>$AF85=4</formula>
    </cfRule>
    <cfRule type="expression" dxfId="1855" priority="809">
      <formula>$AF85=3</formula>
    </cfRule>
    <cfRule type="expression" dxfId="1854" priority="810">
      <formula>$AF85=2</formula>
    </cfRule>
    <cfRule type="expression" dxfId="1853" priority="811">
      <formula>$AF85=1</formula>
    </cfRule>
  </conditionalFormatting>
  <conditionalFormatting sqref="N85">
    <cfRule type="expression" dxfId="1852" priority="807">
      <formula>$AC85=2</formula>
    </cfRule>
  </conditionalFormatting>
  <conditionalFormatting sqref="N85">
    <cfRule type="expression" dxfId="1851" priority="806">
      <formula>N85&gt;F85</formula>
    </cfRule>
  </conditionalFormatting>
  <conditionalFormatting sqref="G85">
    <cfRule type="expression" dxfId="1850" priority="793">
      <formula>G85&gt;F85</formula>
    </cfRule>
  </conditionalFormatting>
  <conditionalFormatting sqref="J85:K85">
    <cfRule type="expression" dxfId="1849" priority="797">
      <formula>$AD85=4</formula>
    </cfRule>
    <cfRule type="expression" dxfId="1848" priority="798">
      <formula>$AD85=3</formula>
    </cfRule>
    <cfRule type="expression" dxfId="1847" priority="799">
      <formula>$AD85=2</formula>
    </cfRule>
    <cfRule type="expression" dxfId="1846" priority="800">
      <formula>$AD85=1</formula>
    </cfRule>
  </conditionalFormatting>
  <conditionalFormatting sqref="J85:K85">
    <cfRule type="expression" dxfId="1845" priority="796">
      <formula>$AC85=2</formula>
    </cfRule>
  </conditionalFormatting>
  <conditionalFormatting sqref="L85">
    <cfRule type="expression" dxfId="1844" priority="795">
      <formula>$AC85=2</formula>
    </cfRule>
  </conditionalFormatting>
  <conditionalFormatting sqref="G85">
    <cfRule type="expression" dxfId="1843" priority="794">
      <formula>$AC85=2</formula>
    </cfRule>
  </conditionalFormatting>
  <conditionalFormatting sqref="O85">
    <cfRule type="expression" dxfId="1842" priority="792">
      <formula>$AC85=2</formula>
    </cfRule>
  </conditionalFormatting>
  <conditionalFormatting sqref="V85">
    <cfRule type="expression" dxfId="1841" priority="791">
      <formula>$AC85=2</formula>
    </cfRule>
  </conditionalFormatting>
  <conditionalFormatting sqref="U85">
    <cfRule type="expression" dxfId="1840" priority="790">
      <formula>$AC85=2</formula>
    </cfRule>
  </conditionalFormatting>
  <conditionalFormatting sqref="U85">
    <cfRule type="expression" dxfId="1839" priority="789">
      <formula>U85&gt;F85</formula>
    </cfRule>
  </conditionalFormatting>
  <conditionalFormatting sqref="H85">
    <cfRule type="expression" dxfId="1838" priority="786">
      <formula>F85=0</formula>
    </cfRule>
  </conditionalFormatting>
  <conditionalFormatting sqref="I85">
    <cfRule type="expression" dxfId="1837" priority="785">
      <formula>F85=0</formula>
    </cfRule>
  </conditionalFormatting>
  <conditionalFormatting sqref="O85">
    <cfRule type="expression" dxfId="1836" priority="784">
      <formula>F85=0</formula>
    </cfRule>
  </conditionalFormatting>
  <conditionalFormatting sqref="V85">
    <cfRule type="expression" dxfId="1835" priority="783">
      <formula>F85=0</formula>
    </cfRule>
  </conditionalFormatting>
  <conditionalFormatting sqref="AZ99">
    <cfRule type="expression" dxfId="1834" priority="782">
      <formula>$AC99=2</formula>
    </cfRule>
  </conditionalFormatting>
  <conditionalFormatting sqref="Q99:R99">
    <cfRule type="expression" dxfId="1833" priority="776">
      <formula>$AE99=4</formula>
    </cfRule>
    <cfRule type="expression" dxfId="1832" priority="777">
      <formula>$AE99=3</formula>
    </cfRule>
    <cfRule type="expression" dxfId="1831" priority="778">
      <formula>$AE99=2</formula>
    </cfRule>
    <cfRule type="expression" dxfId="1830" priority="779">
      <formula>$AE99=1</formula>
    </cfRule>
  </conditionalFormatting>
  <conditionalFormatting sqref="X99:Y99">
    <cfRule type="expression" dxfId="1829" priority="772">
      <formula>$AF99=4</formula>
    </cfRule>
    <cfRule type="expression" dxfId="1828" priority="773">
      <formula>$AF99=3</formula>
    </cfRule>
    <cfRule type="expression" dxfId="1827" priority="774">
      <formula>$AF99=2</formula>
    </cfRule>
    <cfRule type="expression" dxfId="1826" priority="775">
      <formula>$AF99=1</formula>
    </cfRule>
  </conditionalFormatting>
  <conditionalFormatting sqref="X99:Y99">
    <cfRule type="expression" dxfId="1825" priority="771">
      <formula>$AC99=2</formula>
    </cfRule>
  </conditionalFormatting>
  <conditionalFormatting sqref="J99:K99">
    <cfRule type="expression" dxfId="1824" priority="762">
      <formula>$AD99=4</formula>
    </cfRule>
    <cfRule type="expression" dxfId="1823" priority="763">
      <formula>$AD99=3</formula>
    </cfRule>
    <cfRule type="expression" dxfId="1822" priority="764">
      <formula>$AD99=2</formula>
    </cfRule>
    <cfRule type="expression" dxfId="1821" priority="765">
      <formula>$AD99=1</formula>
    </cfRule>
  </conditionalFormatting>
  <conditionalFormatting sqref="J99:K99">
    <cfRule type="expression" dxfId="1820" priority="761">
      <formula>$AC99=2</formula>
    </cfRule>
  </conditionalFormatting>
  <conditionalFormatting sqref="L99">
    <cfRule type="expression" dxfId="1819" priority="760">
      <formula>$AC99=2</formula>
    </cfRule>
  </conditionalFormatting>
  <conditionalFormatting sqref="O99">
    <cfRule type="expression" dxfId="1818" priority="759">
      <formula>$AC99=2</formula>
    </cfRule>
  </conditionalFormatting>
  <conditionalFormatting sqref="V99">
    <cfRule type="expression" dxfId="1817" priority="758">
      <formula>$AC99=2</formula>
    </cfRule>
  </conditionalFormatting>
  <conditionalFormatting sqref="G99">
    <cfRule type="expression" dxfId="1816" priority="757">
      <formula>$AC99=2</formula>
    </cfRule>
  </conditionalFormatting>
  <conditionalFormatting sqref="G99">
    <cfRule type="expression" dxfId="1815" priority="756">
      <formula>G99&gt;F99</formula>
    </cfRule>
  </conditionalFormatting>
  <conditionalFormatting sqref="N99">
    <cfRule type="expression" dxfId="1814" priority="755">
      <formula>$AC99=2</formula>
    </cfRule>
  </conditionalFormatting>
  <conditionalFormatting sqref="N99">
    <cfRule type="expression" dxfId="1813" priority="754">
      <formula>N99&gt;F99</formula>
    </cfRule>
  </conditionalFormatting>
  <conditionalFormatting sqref="U99">
    <cfRule type="expression" dxfId="1812" priority="751">
      <formula>$AC99=2</formula>
    </cfRule>
  </conditionalFormatting>
  <conditionalFormatting sqref="U99">
    <cfRule type="expression" dxfId="1811" priority="750">
      <formula>U99&gt;F99</formula>
    </cfRule>
  </conditionalFormatting>
  <conditionalFormatting sqref="H99">
    <cfRule type="expression" dxfId="1810" priority="747">
      <formula>F99=0</formula>
    </cfRule>
  </conditionalFormatting>
  <conditionalFormatting sqref="I99">
    <cfRule type="expression" dxfId="1809" priority="746">
      <formula>F99=0</formula>
    </cfRule>
  </conditionalFormatting>
  <conditionalFormatting sqref="O99">
    <cfRule type="expression" dxfId="1808" priority="745">
      <formula>F99=0</formula>
    </cfRule>
  </conditionalFormatting>
  <conditionalFormatting sqref="V99">
    <cfRule type="expression" dxfId="1807" priority="744">
      <formula>F99=0</formula>
    </cfRule>
  </conditionalFormatting>
  <conditionalFormatting sqref="X15:Y15">
    <cfRule type="expression" dxfId="1806" priority="740">
      <formula>$AF15=4</formula>
    </cfRule>
    <cfRule type="expression" dxfId="1805" priority="741">
      <formula>$AF15=3</formula>
    </cfRule>
    <cfRule type="expression" dxfId="1804" priority="742">
      <formula>$AF15=2</formula>
    </cfRule>
    <cfRule type="expression" dxfId="1803" priority="743">
      <formula>$AF15=1</formula>
    </cfRule>
  </conditionalFormatting>
  <conditionalFormatting sqref="X15:Y15">
    <cfRule type="expression" dxfId="1802" priority="739">
      <formula>$AC15=2</formula>
    </cfRule>
  </conditionalFormatting>
  <conditionalFormatting sqref="V15">
    <cfRule type="expression" dxfId="1801" priority="736">
      <formula>$AC15=2</formula>
    </cfRule>
  </conditionalFormatting>
  <conditionalFormatting sqref="U15">
    <cfRule type="expression" dxfId="1800" priority="735">
      <formula>$AC15=2</formula>
    </cfRule>
  </conditionalFormatting>
  <conditionalFormatting sqref="U15">
    <cfRule type="expression" dxfId="1799" priority="734">
      <formula>U15&gt;F15</formula>
    </cfRule>
  </conditionalFormatting>
  <conditionalFormatting sqref="V15">
    <cfRule type="expression" dxfId="1798" priority="731">
      <formula>F15=0</formula>
    </cfRule>
  </conditionalFormatting>
  <conditionalFormatting sqref="L173">
    <cfRule type="expression" dxfId="1797" priority="729">
      <formula>$AC173=2</formula>
    </cfRule>
  </conditionalFormatting>
  <conditionalFormatting sqref="L177">
    <cfRule type="expression" dxfId="1796" priority="722">
      <formula>$AC177=2</formula>
    </cfRule>
  </conditionalFormatting>
  <conditionalFormatting sqref="J133:J136">
    <cfRule type="expression" dxfId="1795" priority="716">
      <formula>$AD133=4</formula>
    </cfRule>
    <cfRule type="expression" dxfId="1794" priority="717">
      <formula>$AD133=3</formula>
    </cfRule>
    <cfRule type="expression" dxfId="1793" priority="718">
      <formula>$AD133=2</formula>
    </cfRule>
    <cfRule type="expression" dxfId="1792" priority="719">
      <formula>$AD133=1</formula>
    </cfRule>
  </conditionalFormatting>
  <conditionalFormatting sqref="J133:J136">
    <cfRule type="expression" dxfId="1791" priority="715">
      <formula>$AC133=2</formula>
    </cfRule>
  </conditionalFormatting>
  <conditionalFormatting sqref="L14">
    <cfRule type="expression" dxfId="1790" priority="714">
      <formula>$AC14=2</formula>
    </cfRule>
  </conditionalFormatting>
  <conditionalFormatting sqref="P36:P37">
    <cfRule type="expression" dxfId="1789" priority="703">
      <formula>$AE36=4</formula>
    </cfRule>
    <cfRule type="expression" dxfId="1788" priority="704">
      <formula>$AE36=3</formula>
    </cfRule>
    <cfRule type="expression" dxfId="1787" priority="705">
      <formula>$AE36=2</formula>
    </cfRule>
    <cfRule type="expression" dxfId="1786" priority="706">
      <formula>$AE36=1</formula>
    </cfRule>
  </conditionalFormatting>
  <conditionalFormatting sqref="P36:P37">
    <cfRule type="expression" dxfId="1785" priority="702">
      <formula>$AC36=2</formula>
    </cfRule>
  </conditionalFormatting>
  <conditionalFormatting sqref="P64:P65">
    <cfRule type="expression" dxfId="1784" priority="696">
      <formula>$AE64=4</formula>
    </cfRule>
    <cfRule type="expression" dxfId="1783" priority="697">
      <formula>$AE64=3</formula>
    </cfRule>
    <cfRule type="expression" dxfId="1782" priority="698">
      <formula>$AE64=2</formula>
    </cfRule>
    <cfRule type="expression" dxfId="1781" priority="699">
      <formula>$AE64=1</formula>
    </cfRule>
  </conditionalFormatting>
  <conditionalFormatting sqref="P64:P65">
    <cfRule type="expression" dxfId="1780" priority="695">
      <formula>$AC64=2</formula>
    </cfRule>
  </conditionalFormatting>
  <conditionalFormatting sqref="P93:P94">
    <cfRule type="expression" dxfId="1779" priority="689">
      <formula>$AE93=4</formula>
    </cfRule>
    <cfRule type="expression" dxfId="1778" priority="690">
      <formula>$AE93=3</formula>
    </cfRule>
    <cfRule type="expression" dxfId="1777" priority="691">
      <formula>$AE93=2</formula>
    </cfRule>
    <cfRule type="expression" dxfId="1776" priority="692">
      <formula>$AE93=1</formula>
    </cfRule>
  </conditionalFormatting>
  <conditionalFormatting sqref="P93:P94">
    <cfRule type="expression" dxfId="1775" priority="688">
      <formula>$AC93=2</formula>
    </cfRule>
  </conditionalFormatting>
  <conditionalFormatting sqref="P102:P103">
    <cfRule type="expression" dxfId="1774" priority="682">
      <formula>$AE102=4</formula>
    </cfRule>
    <cfRule type="expression" dxfId="1773" priority="683">
      <formula>$AE102=3</formula>
    </cfRule>
    <cfRule type="expression" dxfId="1772" priority="684">
      <formula>$AE102=2</formula>
    </cfRule>
    <cfRule type="expression" dxfId="1771" priority="685">
      <formula>$AE102=1</formula>
    </cfRule>
  </conditionalFormatting>
  <conditionalFormatting sqref="P102:P103">
    <cfRule type="expression" dxfId="1770" priority="681">
      <formula>$AC102=2</formula>
    </cfRule>
  </conditionalFormatting>
  <conditionalFormatting sqref="P116:P117">
    <cfRule type="expression" dxfId="1769" priority="675">
      <formula>$AE116=4</formula>
    </cfRule>
    <cfRule type="expression" dxfId="1768" priority="676">
      <formula>$AE116=3</formula>
    </cfRule>
    <cfRule type="expression" dxfId="1767" priority="677">
      <formula>$AE116=2</formula>
    </cfRule>
    <cfRule type="expression" dxfId="1766" priority="678">
      <formula>$AE116=1</formula>
    </cfRule>
  </conditionalFormatting>
  <conditionalFormatting sqref="P116:P117">
    <cfRule type="expression" dxfId="1765" priority="674">
      <formula>$AC116=2</formula>
    </cfRule>
  </conditionalFormatting>
  <conditionalFormatting sqref="P146:P147">
    <cfRule type="expression" dxfId="1764" priority="668">
      <formula>$AE146=4</formula>
    </cfRule>
    <cfRule type="expression" dxfId="1763" priority="669">
      <formula>$AE146=3</formula>
    </cfRule>
    <cfRule type="expression" dxfId="1762" priority="670">
      <formula>$AE146=2</formula>
    </cfRule>
    <cfRule type="expression" dxfId="1761" priority="671">
      <formula>$AE146=1</formula>
    </cfRule>
  </conditionalFormatting>
  <conditionalFormatting sqref="P146:P147">
    <cfRule type="expression" dxfId="1760" priority="667">
      <formula>$AC146=2</formula>
    </cfRule>
  </conditionalFormatting>
  <conditionalFormatting sqref="P161:P162">
    <cfRule type="expression" dxfId="1759" priority="661">
      <formula>$AE161=4</formula>
    </cfRule>
    <cfRule type="expression" dxfId="1758" priority="662">
      <formula>$AE161=3</formula>
    </cfRule>
    <cfRule type="expression" dxfId="1757" priority="663">
      <formula>$AE161=2</formula>
    </cfRule>
    <cfRule type="expression" dxfId="1756" priority="664">
      <formula>$AE161=1</formula>
    </cfRule>
  </conditionalFormatting>
  <conditionalFormatting sqref="P161:P162">
    <cfRule type="expression" dxfId="1755" priority="660">
      <formula>$AC161=2</formula>
    </cfRule>
  </conditionalFormatting>
  <conditionalFormatting sqref="P193:P194">
    <cfRule type="expression" dxfId="1754" priority="654">
      <formula>$AE193=4</formula>
    </cfRule>
    <cfRule type="expression" dxfId="1753" priority="655">
      <formula>$AE193=3</formula>
    </cfRule>
    <cfRule type="expression" dxfId="1752" priority="656">
      <formula>$AE193=2</formula>
    </cfRule>
    <cfRule type="expression" dxfId="1751" priority="657">
      <formula>$AE193=1</formula>
    </cfRule>
  </conditionalFormatting>
  <conditionalFormatting sqref="P193:P194">
    <cfRule type="expression" dxfId="1750" priority="653">
      <formula>$AC193=2</formula>
    </cfRule>
  </conditionalFormatting>
  <conditionalFormatting sqref="P210:P211">
    <cfRule type="expression" dxfId="1749" priority="647">
      <formula>$AE210=4</formula>
    </cfRule>
    <cfRule type="expression" dxfId="1748" priority="648">
      <formula>$AE210=3</formula>
    </cfRule>
    <cfRule type="expression" dxfId="1747" priority="649">
      <formula>$AE210=2</formula>
    </cfRule>
    <cfRule type="expression" dxfId="1746" priority="650">
      <formula>$AE210=1</formula>
    </cfRule>
  </conditionalFormatting>
  <conditionalFormatting sqref="P210:P211">
    <cfRule type="expression" dxfId="1745" priority="646">
      <formula>$AC210=2</formula>
    </cfRule>
  </conditionalFormatting>
  <conditionalFormatting sqref="W36:W37">
    <cfRule type="expression" dxfId="1744" priority="618">
      <formula>$AE36=4</formula>
    </cfRule>
    <cfRule type="expression" dxfId="1743" priority="619">
      <formula>$AE36=3</formula>
    </cfRule>
    <cfRule type="expression" dxfId="1742" priority="620">
      <formula>$AE36=2</formula>
    </cfRule>
    <cfRule type="expression" dxfId="1741" priority="621">
      <formula>$AE36=1</formula>
    </cfRule>
  </conditionalFormatting>
  <conditionalFormatting sqref="W36:W37">
    <cfRule type="expression" dxfId="1740" priority="617">
      <formula>$AC36=2</formula>
    </cfRule>
  </conditionalFormatting>
  <conditionalFormatting sqref="W64:W65">
    <cfRule type="expression" dxfId="1739" priority="611">
      <formula>$AE64=4</formula>
    </cfRule>
    <cfRule type="expression" dxfId="1738" priority="612">
      <formula>$AE64=3</formula>
    </cfRule>
    <cfRule type="expression" dxfId="1737" priority="613">
      <formula>$AE64=2</formula>
    </cfRule>
    <cfRule type="expression" dxfId="1736" priority="614">
      <formula>$AE64=1</formula>
    </cfRule>
  </conditionalFormatting>
  <conditionalFormatting sqref="W64:W65">
    <cfRule type="expression" dxfId="1735" priority="610">
      <formula>$AC64=2</formula>
    </cfRule>
  </conditionalFormatting>
  <conditionalFormatting sqref="W93:W94">
    <cfRule type="expression" dxfId="1734" priority="604">
      <formula>$AE93=4</formula>
    </cfRule>
    <cfRule type="expression" dxfId="1733" priority="605">
      <formula>$AE93=3</formula>
    </cfRule>
    <cfRule type="expression" dxfId="1732" priority="606">
      <formula>$AE93=2</formula>
    </cfRule>
    <cfRule type="expression" dxfId="1731" priority="607">
      <formula>$AE93=1</formula>
    </cfRule>
  </conditionalFormatting>
  <conditionalFormatting sqref="W93:W94">
    <cfRule type="expression" dxfId="1730" priority="603">
      <formula>$AC93=2</formula>
    </cfRule>
  </conditionalFormatting>
  <conditionalFormatting sqref="W102:W103">
    <cfRule type="expression" dxfId="1729" priority="597">
      <formula>$AE102=4</formula>
    </cfRule>
    <cfRule type="expression" dxfId="1728" priority="598">
      <formula>$AE102=3</formula>
    </cfRule>
    <cfRule type="expression" dxfId="1727" priority="599">
      <formula>$AE102=2</formula>
    </cfRule>
    <cfRule type="expression" dxfId="1726" priority="600">
      <formula>$AE102=1</formula>
    </cfRule>
  </conditionalFormatting>
  <conditionalFormatting sqref="W102:W103">
    <cfRule type="expression" dxfId="1725" priority="596">
      <formula>$AC102=2</formula>
    </cfRule>
  </conditionalFormatting>
  <conditionalFormatting sqref="W116:W117">
    <cfRule type="expression" dxfId="1724" priority="590">
      <formula>$AE116=4</formula>
    </cfRule>
    <cfRule type="expression" dxfId="1723" priority="591">
      <formula>$AE116=3</formula>
    </cfRule>
    <cfRule type="expression" dxfId="1722" priority="592">
      <formula>$AE116=2</formula>
    </cfRule>
    <cfRule type="expression" dxfId="1721" priority="593">
      <formula>$AE116=1</formula>
    </cfRule>
  </conditionalFormatting>
  <conditionalFormatting sqref="W116:W117">
    <cfRule type="expression" dxfId="1720" priority="589">
      <formula>$AC116=2</formula>
    </cfRule>
  </conditionalFormatting>
  <conditionalFormatting sqref="W146:W147">
    <cfRule type="expression" dxfId="1719" priority="583">
      <formula>$AE146=4</formula>
    </cfRule>
    <cfRule type="expression" dxfId="1718" priority="584">
      <formula>$AE146=3</formula>
    </cfRule>
    <cfRule type="expression" dxfId="1717" priority="585">
      <formula>$AE146=2</formula>
    </cfRule>
    <cfRule type="expression" dxfId="1716" priority="586">
      <formula>$AE146=1</formula>
    </cfRule>
  </conditionalFormatting>
  <conditionalFormatting sqref="W146:W147">
    <cfRule type="expression" dxfId="1715" priority="582">
      <formula>$AC146=2</formula>
    </cfRule>
  </conditionalFormatting>
  <conditionalFormatting sqref="W161:W162">
    <cfRule type="expression" dxfId="1714" priority="576">
      <formula>$AE161=4</formula>
    </cfRule>
    <cfRule type="expression" dxfId="1713" priority="577">
      <formula>$AE161=3</formula>
    </cfRule>
    <cfRule type="expression" dxfId="1712" priority="578">
      <formula>$AE161=2</formula>
    </cfRule>
    <cfRule type="expression" dxfId="1711" priority="579">
      <formula>$AE161=1</formula>
    </cfRule>
  </conditionalFormatting>
  <conditionalFormatting sqref="W161:W162">
    <cfRule type="expression" dxfId="1710" priority="575">
      <formula>$AC161=2</formula>
    </cfRule>
  </conditionalFormatting>
  <conditionalFormatting sqref="W193:W194">
    <cfRule type="expression" dxfId="1709" priority="569">
      <formula>$AE193=4</formula>
    </cfRule>
    <cfRule type="expression" dxfId="1708" priority="570">
      <formula>$AE193=3</formula>
    </cfRule>
    <cfRule type="expression" dxfId="1707" priority="571">
      <formula>$AE193=2</formula>
    </cfRule>
    <cfRule type="expression" dxfId="1706" priority="572">
      <formula>$AE193=1</formula>
    </cfRule>
  </conditionalFormatting>
  <conditionalFormatting sqref="W193:W194">
    <cfRule type="expression" dxfId="1705" priority="568">
      <formula>$AC193=2</formula>
    </cfRule>
  </conditionalFormatting>
  <conditionalFormatting sqref="W210:W211">
    <cfRule type="expression" dxfId="1704" priority="562">
      <formula>$AE210=4</formula>
    </cfRule>
    <cfRule type="expression" dxfId="1703" priority="563">
      <formula>$AE210=3</formula>
    </cfRule>
    <cfRule type="expression" dxfId="1702" priority="564">
      <formula>$AE210=2</formula>
    </cfRule>
    <cfRule type="expression" dxfId="1701" priority="565">
      <formula>$AE210=1</formula>
    </cfRule>
  </conditionalFormatting>
  <conditionalFormatting sqref="W210:W211">
    <cfRule type="expression" dxfId="1700" priority="561">
      <formula>$AC210=2</formula>
    </cfRule>
  </conditionalFormatting>
  <conditionalFormatting sqref="S102:S103 S31 S20 S27 S146:S147 S35:S37 S64:S65 S93:S94 S116:S117 S161:S162 S193:S194 S196 S210:S213 S44:S45 S86 Z196 Z192:Z194 Z160:Z162 Z115:Z117 Z92:Z94 Z63:Z65 Z31 Z101:Z103 Z35:Z37 Z27 Z17:Z20 Z84 S67:S72 Z68:Z72">
    <cfRule type="expression" dxfId="1699" priority="536">
      <formula>$AA17=2</formula>
    </cfRule>
  </conditionalFormatting>
  <conditionalFormatting sqref="S13">
    <cfRule type="expression" dxfId="1698" priority="531">
      <formula>$AA13=2</formula>
    </cfRule>
  </conditionalFormatting>
  <conditionalFormatting sqref="S16">
    <cfRule type="expression" dxfId="1697" priority="534">
      <formula>$AA16=2</formula>
    </cfRule>
  </conditionalFormatting>
  <conditionalFormatting sqref="S17:S19">
    <cfRule type="expression" dxfId="1696" priority="535">
      <formula>$AA17=2</formula>
    </cfRule>
  </conditionalFormatting>
  <conditionalFormatting sqref="S15">
    <cfRule type="expression" dxfId="1695" priority="533">
      <formula>$AA15=2</formula>
    </cfRule>
  </conditionalFormatting>
  <conditionalFormatting sqref="S14">
    <cfRule type="expression" dxfId="1694" priority="532">
      <formula>$AA14=2</formula>
    </cfRule>
  </conditionalFormatting>
  <conditionalFormatting sqref="S12">
    <cfRule type="expression" dxfId="1693" priority="530">
      <formula>$AA12=2</formula>
    </cfRule>
  </conditionalFormatting>
  <conditionalFormatting sqref="S21">
    <cfRule type="expression" dxfId="1692" priority="529">
      <formula>$AA21=2</formula>
    </cfRule>
  </conditionalFormatting>
  <conditionalFormatting sqref="S22">
    <cfRule type="expression" dxfId="1691" priority="528">
      <formula>$AA22=2</formula>
    </cfRule>
  </conditionalFormatting>
  <conditionalFormatting sqref="S23">
    <cfRule type="expression" dxfId="1690" priority="527">
      <formula>$AA23=2</formula>
    </cfRule>
  </conditionalFormatting>
  <conditionalFormatting sqref="S24">
    <cfRule type="expression" dxfId="1689" priority="526">
      <formula>$AA24=2</formula>
    </cfRule>
  </conditionalFormatting>
  <conditionalFormatting sqref="S28">
    <cfRule type="expression" dxfId="1688" priority="525">
      <formula>$AA28=2</formula>
    </cfRule>
  </conditionalFormatting>
  <conditionalFormatting sqref="S29">
    <cfRule type="expression" dxfId="1687" priority="524">
      <formula>$AA29=2</formula>
    </cfRule>
  </conditionalFormatting>
  <conditionalFormatting sqref="S30">
    <cfRule type="expression" dxfId="1686" priority="523">
      <formula>$AA30=2</formula>
    </cfRule>
  </conditionalFormatting>
  <conditionalFormatting sqref="S32">
    <cfRule type="expression" dxfId="1685" priority="522">
      <formula>$AA32=2</formula>
    </cfRule>
  </conditionalFormatting>
  <conditionalFormatting sqref="S33">
    <cfRule type="expression" dxfId="1684" priority="521">
      <formula>$AA33=2</formula>
    </cfRule>
  </conditionalFormatting>
  <conditionalFormatting sqref="S34">
    <cfRule type="expression" dxfId="1683" priority="520">
      <formula>$AA34=2</formula>
    </cfRule>
  </conditionalFormatting>
  <conditionalFormatting sqref="S38:S40">
    <cfRule type="expression" dxfId="1682" priority="519">
      <formula>$AA38=2</formula>
    </cfRule>
  </conditionalFormatting>
  <conditionalFormatting sqref="S66">
    <cfRule type="expression" dxfId="1681" priority="518">
      <formula>$AA66=2</formula>
    </cfRule>
  </conditionalFormatting>
  <conditionalFormatting sqref="S95">
    <cfRule type="expression" dxfId="1680" priority="517">
      <formula>$AA95=2</formula>
    </cfRule>
  </conditionalFormatting>
  <conditionalFormatting sqref="S104">
    <cfRule type="expression" dxfId="1679" priority="516">
      <formula>$AA104=2</formula>
    </cfRule>
  </conditionalFormatting>
  <conditionalFormatting sqref="S118">
    <cfRule type="expression" dxfId="1678" priority="515">
      <formula>$AA118=2</formula>
    </cfRule>
  </conditionalFormatting>
  <conditionalFormatting sqref="S148">
    <cfRule type="expression" dxfId="1677" priority="514">
      <formula>$AA148=2</formula>
    </cfRule>
  </conditionalFormatting>
  <conditionalFormatting sqref="S163">
    <cfRule type="expression" dxfId="1676" priority="513">
      <formula>$AA163=2</formula>
    </cfRule>
  </conditionalFormatting>
  <conditionalFormatting sqref="S195">
    <cfRule type="expression" dxfId="1675" priority="512">
      <formula>$AA195=2</formula>
    </cfRule>
  </conditionalFormatting>
  <conditionalFormatting sqref="S46">
    <cfRule type="expression" dxfId="1674" priority="511">
      <formula>$AA46=2</formula>
    </cfRule>
  </conditionalFormatting>
  <conditionalFormatting sqref="S51">
    <cfRule type="expression" dxfId="1673" priority="510">
      <formula>$AA51=2</formula>
    </cfRule>
  </conditionalFormatting>
  <conditionalFormatting sqref="S55">
    <cfRule type="expression" dxfId="1672" priority="509">
      <formula>$AA55=2</formula>
    </cfRule>
  </conditionalFormatting>
  <conditionalFormatting sqref="S58">
    <cfRule type="expression" dxfId="1671" priority="508">
      <formula>$AA58=2</formula>
    </cfRule>
  </conditionalFormatting>
  <conditionalFormatting sqref="S61">
    <cfRule type="expression" dxfId="1670" priority="507">
      <formula>$AA61=2</formula>
    </cfRule>
  </conditionalFormatting>
  <conditionalFormatting sqref="S73">
    <cfRule type="expression" dxfId="1669" priority="506">
      <formula>$AA73=2</formula>
    </cfRule>
  </conditionalFormatting>
  <conditionalFormatting sqref="S77">
    <cfRule type="expression" dxfId="1668" priority="505">
      <formula>$AA77=2</formula>
    </cfRule>
  </conditionalFormatting>
  <conditionalFormatting sqref="S80">
    <cfRule type="expression" dxfId="1667" priority="504">
      <formula>$AA80=2</formula>
    </cfRule>
  </conditionalFormatting>
  <conditionalFormatting sqref="S83">
    <cfRule type="expression" dxfId="1666" priority="503">
      <formula>$AA83=2</formula>
    </cfRule>
  </conditionalFormatting>
  <conditionalFormatting sqref="S87">
    <cfRule type="expression" dxfId="1665" priority="502">
      <formula>$AA87=2</formula>
    </cfRule>
  </conditionalFormatting>
  <conditionalFormatting sqref="S90">
    <cfRule type="expression" dxfId="1664" priority="501">
      <formula>$AA90=2</formula>
    </cfRule>
  </conditionalFormatting>
  <conditionalFormatting sqref="S98">
    <cfRule type="expression" dxfId="1663" priority="500">
      <formula>$AA98=2</formula>
    </cfRule>
  </conditionalFormatting>
  <conditionalFormatting sqref="S107">
    <cfRule type="expression" dxfId="1662" priority="499">
      <formula>$AA107=2</formula>
    </cfRule>
  </conditionalFormatting>
  <conditionalFormatting sqref="S109">
    <cfRule type="expression" dxfId="1661" priority="498">
      <formula>$AA109=2</formula>
    </cfRule>
  </conditionalFormatting>
  <conditionalFormatting sqref="S113">
    <cfRule type="expression" dxfId="1660" priority="497">
      <formula>$AA113=2</formula>
    </cfRule>
  </conditionalFormatting>
  <conditionalFormatting sqref="S122">
    <cfRule type="expression" dxfId="1659" priority="496">
      <formula>$AA122=2</formula>
    </cfRule>
  </conditionalFormatting>
  <conditionalFormatting sqref="S126">
    <cfRule type="expression" dxfId="1658" priority="495">
      <formula>$AA126=2</formula>
    </cfRule>
  </conditionalFormatting>
  <conditionalFormatting sqref="S130">
    <cfRule type="expression" dxfId="1657" priority="494">
      <formula>$AA130=2</formula>
    </cfRule>
  </conditionalFormatting>
  <conditionalFormatting sqref="S136">
    <cfRule type="expression" dxfId="1656" priority="493">
      <formula>$AA136=2</formula>
    </cfRule>
  </conditionalFormatting>
  <conditionalFormatting sqref="S141">
    <cfRule type="expression" dxfId="1655" priority="492">
      <formula>$AA141=2</formula>
    </cfRule>
  </conditionalFormatting>
  <conditionalFormatting sqref="S154">
    <cfRule type="expression" dxfId="1654" priority="491">
      <formula>$AA154=2</formula>
    </cfRule>
  </conditionalFormatting>
  <conditionalFormatting sqref="S156">
    <cfRule type="expression" dxfId="1653" priority="490">
      <formula>$AA156=2</formula>
    </cfRule>
  </conditionalFormatting>
  <conditionalFormatting sqref="S158">
    <cfRule type="expression" dxfId="1652" priority="489">
      <formula>$AA158=2</formula>
    </cfRule>
  </conditionalFormatting>
  <conditionalFormatting sqref="S166">
    <cfRule type="expression" dxfId="1651" priority="488">
      <formula>$AA166=2</formula>
    </cfRule>
  </conditionalFormatting>
  <conditionalFormatting sqref="S170:S171">
    <cfRule type="expression" dxfId="1650" priority="487">
      <formula>$AA170=2</formula>
    </cfRule>
  </conditionalFormatting>
  <conditionalFormatting sqref="S178">
    <cfRule type="expression" dxfId="1649" priority="486">
      <formula>$AA178=2</formula>
    </cfRule>
  </conditionalFormatting>
  <conditionalFormatting sqref="S182">
    <cfRule type="expression" dxfId="1648" priority="485">
      <formula>$AA182=2</formula>
    </cfRule>
  </conditionalFormatting>
  <conditionalFormatting sqref="S184">
    <cfRule type="expression" dxfId="1647" priority="484">
      <formula>$AA184=2</formula>
    </cfRule>
  </conditionalFormatting>
  <conditionalFormatting sqref="S187">
    <cfRule type="expression" dxfId="1646" priority="483">
      <formula>$AA187=2</formula>
    </cfRule>
  </conditionalFormatting>
  <conditionalFormatting sqref="S200">
    <cfRule type="expression" dxfId="1645" priority="482">
      <formula>$AA200=2</formula>
    </cfRule>
  </conditionalFormatting>
  <conditionalFormatting sqref="S203">
    <cfRule type="expression" dxfId="1644" priority="481">
      <formula>$AA203=2</formula>
    </cfRule>
  </conditionalFormatting>
  <conditionalFormatting sqref="S206">
    <cfRule type="expression" dxfId="1643" priority="480">
      <formula>$AA206=2</formula>
    </cfRule>
  </conditionalFormatting>
  <conditionalFormatting sqref="S41:S42">
    <cfRule type="expression" dxfId="1642" priority="479">
      <formula>$AA41=2</formula>
    </cfRule>
  </conditionalFormatting>
  <conditionalFormatting sqref="S47:S50">
    <cfRule type="expression" dxfId="1641" priority="478">
      <formula>$AA47=2</formula>
    </cfRule>
  </conditionalFormatting>
  <conditionalFormatting sqref="S52:S54">
    <cfRule type="expression" dxfId="1640" priority="477">
      <formula>$AA52=2</formula>
    </cfRule>
  </conditionalFormatting>
  <conditionalFormatting sqref="S56">
    <cfRule type="expression" dxfId="1639" priority="476">
      <formula>$AA56=2</formula>
    </cfRule>
  </conditionalFormatting>
  <conditionalFormatting sqref="S59:S60">
    <cfRule type="expression" dxfId="1638" priority="475">
      <formula>$AA59=2</formula>
    </cfRule>
  </conditionalFormatting>
  <conditionalFormatting sqref="S62">
    <cfRule type="expression" dxfId="1637" priority="474">
      <formula>$AA62=2</formula>
    </cfRule>
  </conditionalFormatting>
  <conditionalFormatting sqref="S74:S76">
    <cfRule type="expression" dxfId="1636" priority="472">
      <formula>$AA74=2</formula>
    </cfRule>
  </conditionalFormatting>
  <conditionalFormatting sqref="S78:S79">
    <cfRule type="expression" dxfId="1635" priority="471">
      <formula>$AA78=2</formula>
    </cfRule>
  </conditionalFormatting>
  <conditionalFormatting sqref="S81:S82">
    <cfRule type="expression" dxfId="1634" priority="470">
      <formula>$AA81=2</formula>
    </cfRule>
  </conditionalFormatting>
  <conditionalFormatting sqref="S84">
    <cfRule type="expression" dxfId="1633" priority="469">
      <formula>$AA84=2</formula>
    </cfRule>
  </conditionalFormatting>
  <conditionalFormatting sqref="S88:S89">
    <cfRule type="expression" dxfId="1632" priority="468">
      <formula>$AA88=2</formula>
    </cfRule>
  </conditionalFormatting>
  <conditionalFormatting sqref="S91">
    <cfRule type="expression" dxfId="1631" priority="467">
      <formula>$AA91=2</formula>
    </cfRule>
  </conditionalFormatting>
  <conditionalFormatting sqref="S96:S97">
    <cfRule type="expression" dxfId="1630" priority="466">
      <formula>$AA96=2</formula>
    </cfRule>
  </conditionalFormatting>
  <conditionalFormatting sqref="S100">
    <cfRule type="expression" dxfId="1629" priority="465">
      <formula>$AA100=2</formula>
    </cfRule>
  </conditionalFormatting>
  <conditionalFormatting sqref="S106">
    <cfRule type="expression" dxfId="1628" priority="464">
      <formula>$AA106=2</formula>
    </cfRule>
  </conditionalFormatting>
  <conditionalFormatting sqref="S108">
    <cfRule type="expression" dxfId="1627" priority="463">
      <formula>$AA108=2</formula>
    </cfRule>
  </conditionalFormatting>
  <conditionalFormatting sqref="S110:S112">
    <cfRule type="expression" dxfId="1626" priority="462">
      <formula>$AA110=2</formula>
    </cfRule>
  </conditionalFormatting>
  <conditionalFormatting sqref="S114">
    <cfRule type="expression" dxfId="1625" priority="461">
      <formula>$AA114=2</formula>
    </cfRule>
  </conditionalFormatting>
  <conditionalFormatting sqref="S119:S120">
    <cfRule type="expression" dxfId="1624" priority="460">
      <formula>$AA119=2</formula>
    </cfRule>
  </conditionalFormatting>
  <conditionalFormatting sqref="S121">
    <cfRule type="expression" dxfId="1623" priority="459">
      <formula>$AA121=2</formula>
    </cfRule>
  </conditionalFormatting>
  <conditionalFormatting sqref="S123:S124">
    <cfRule type="expression" dxfId="1622" priority="458">
      <formula>$AA123=2</formula>
    </cfRule>
  </conditionalFormatting>
  <conditionalFormatting sqref="S127:S129">
    <cfRule type="expression" dxfId="1621" priority="457">
      <formula>$AA127=2</formula>
    </cfRule>
  </conditionalFormatting>
  <conditionalFormatting sqref="S131:S134">
    <cfRule type="expression" dxfId="1620" priority="456">
      <formula>$AA131=2</formula>
    </cfRule>
  </conditionalFormatting>
  <conditionalFormatting sqref="S138:S140">
    <cfRule type="expression" dxfId="1619" priority="455">
      <formula>$AA138=2</formula>
    </cfRule>
  </conditionalFormatting>
  <conditionalFormatting sqref="S142:S144">
    <cfRule type="expression" dxfId="1618" priority="454">
      <formula>$AA142=2</formula>
    </cfRule>
  </conditionalFormatting>
  <conditionalFormatting sqref="S150:S153">
    <cfRule type="expression" dxfId="1617" priority="453">
      <formula>$AA150=2</formula>
    </cfRule>
  </conditionalFormatting>
  <conditionalFormatting sqref="S155">
    <cfRule type="expression" dxfId="1616" priority="452">
      <formula>$AA155=2</formula>
    </cfRule>
  </conditionalFormatting>
  <conditionalFormatting sqref="S159">
    <cfRule type="expression" dxfId="1615" priority="451">
      <formula>$AA159=2</formula>
    </cfRule>
  </conditionalFormatting>
  <conditionalFormatting sqref="S164:S165">
    <cfRule type="expression" dxfId="1614" priority="450">
      <formula>$AA164=2</formula>
    </cfRule>
  </conditionalFormatting>
  <conditionalFormatting sqref="S167:S169">
    <cfRule type="expression" dxfId="1613" priority="449">
      <formula>$AA167=2</formula>
    </cfRule>
  </conditionalFormatting>
  <conditionalFormatting sqref="S175:S177">
    <cfRule type="expression" dxfId="1612" priority="448">
      <formula>$AA175=2</formula>
    </cfRule>
  </conditionalFormatting>
  <conditionalFormatting sqref="S179:S181">
    <cfRule type="expression" dxfId="1611" priority="447">
      <formula>$AA179=2</formula>
    </cfRule>
  </conditionalFormatting>
  <conditionalFormatting sqref="S183">
    <cfRule type="expression" dxfId="1610" priority="446">
      <formula>$AA183=2</formula>
    </cfRule>
  </conditionalFormatting>
  <conditionalFormatting sqref="S185:S186">
    <cfRule type="expression" dxfId="1609" priority="445">
      <formula>$AA185=2</formula>
    </cfRule>
  </conditionalFormatting>
  <conditionalFormatting sqref="S188:S191">
    <cfRule type="expression" dxfId="1608" priority="444">
      <formula>$AA188=2</formula>
    </cfRule>
  </conditionalFormatting>
  <conditionalFormatting sqref="S201:S202">
    <cfRule type="expression" dxfId="1607" priority="443">
      <formula>$AA201=2</formula>
    </cfRule>
  </conditionalFormatting>
  <conditionalFormatting sqref="S204:S205">
    <cfRule type="expression" dxfId="1606" priority="442">
      <formula>$AA204=2</formula>
    </cfRule>
  </conditionalFormatting>
  <conditionalFormatting sqref="S207:S208">
    <cfRule type="expression" dxfId="1605" priority="441">
      <formula>$AA207=2</formula>
    </cfRule>
  </conditionalFormatting>
  <conditionalFormatting sqref="S199">
    <cfRule type="expression" dxfId="1604" priority="440">
      <formula>$AA199=2</formula>
    </cfRule>
  </conditionalFormatting>
  <conditionalFormatting sqref="S63">
    <cfRule type="expression" dxfId="1603" priority="439">
      <formula>$AA63=2</formula>
    </cfRule>
  </conditionalFormatting>
  <conditionalFormatting sqref="S92">
    <cfRule type="expression" dxfId="1602" priority="438">
      <formula>$AA92=2</formula>
    </cfRule>
  </conditionalFormatting>
  <conditionalFormatting sqref="S101">
    <cfRule type="expression" dxfId="1601" priority="437">
      <formula>$AA101=2</formula>
    </cfRule>
  </conditionalFormatting>
  <conditionalFormatting sqref="S115">
    <cfRule type="expression" dxfId="1600" priority="436">
      <formula>$AA115=2</formula>
    </cfRule>
  </conditionalFormatting>
  <conditionalFormatting sqref="S145">
    <cfRule type="expression" dxfId="1599" priority="435">
      <formula>$AA145=2</formula>
    </cfRule>
  </conditionalFormatting>
  <conditionalFormatting sqref="S160">
    <cfRule type="expression" dxfId="1598" priority="434">
      <formula>$AA160=2</formula>
    </cfRule>
  </conditionalFormatting>
  <conditionalFormatting sqref="S192">
    <cfRule type="expression" dxfId="1597" priority="433">
      <formula>$AA192=2</formula>
    </cfRule>
  </conditionalFormatting>
  <conditionalFormatting sqref="S209">
    <cfRule type="expression" dxfId="1596" priority="432">
      <formula>$AA209=2</formula>
    </cfRule>
  </conditionalFormatting>
  <conditionalFormatting sqref="S135">
    <cfRule type="expression" dxfId="1595" priority="431">
      <formula>$AA135=2</formula>
    </cfRule>
  </conditionalFormatting>
  <conditionalFormatting sqref="S198">
    <cfRule type="expression" dxfId="1594" priority="430">
      <formula>$AA198=2</formula>
    </cfRule>
  </conditionalFormatting>
  <conditionalFormatting sqref="S197">
    <cfRule type="expression" dxfId="1593" priority="429">
      <formula>$AA197=2</formula>
    </cfRule>
  </conditionalFormatting>
  <conditionalFormatting sqref="S25">
    <cfRule type="expression" dxfId="1592" priority="428">
      <formula>$AA25=2</formula>
    </cfRule>
  </conditionalFormatting>
  <conditionalFormatting sqref="S26">
    <cfRule type="expression" dxfId="1591" priority="427">
      <formula>$AA26=2</formula>
    </cfRule>
  </conditionalFormatting>
  <conditionalFormatting sqref="S85">
    <cfRule type="expression" dxfId="1590" priority="426">
      <formula>$AA85=2</formula>
    </cfRule>
  </conditionalFormatting>
  <conditionalFormatting sqref="S99">
    <cfRule type="expression" dxfId="1589" priority="425">
      <formula>$AA99=2</formula>
    </cfRule>
  </conditionalFormatting>
  <conditionalFormatting sqref="S157">
    <cfRule type="expression" dxfId="1588" priority="424">
      <formula>$AA157=2</formula>
    </cfRule>
  </conditionalFormatting>
  <conditionalFormatting sqref="S172:S173">
    <cfRule type="expression" dxfId="1587" priority="423">
      <formula>$AA172=2</formula>
    </cfRule>
  </conditionalFormatting>
  <conditionalFormatting sqref="S174">
    <cfRule type="expression" dxfId="1586" priority="422">
      <formula>$AA174=2</formula>
    </cfRule>
  </conditionalFormatting>
  <conditionalFormatting sqref="S173">
    <cfRule type="expression" dxfId="1585" priority="421">
      <formula>$AA173=2</formula>
    </cfRule>
  </conditionalFormatting>
  <conditionalFormatting sqref="S177">
    <cfRule type="expression" dxfId="1584" priority="420">
      <formula>$AA177=2</formula>
    </cfRule>
  </conditionalFormatting>
  <conditionalFormatting sqref="S57">
    <cfRule type="expression" dxfId="1583" priority="419">
      <formula>$AA57=2</formula>
    </cfRule>
  </conditionalFormatting>
  <conditionalFormatting sqref="S125">
    <cfRule type="expression" dxfId="1582" priority="418">
      <formula>$AA125=2</formula>
    </cfRule>
  </conditionalFormatting>
  <conditionalFormatting sqref="S43">
    <cfRule type="expression" dxfId="1581" priority="417">
      <formula>$AA43=2</formula>
    </cfRule>
  </conditionalFormatting>
  <conditionalFormatting sqref="Z209:Z212">
    <cfRule type="expression" dxfId="1580" priority="416">
      <formula>$AA209=2</formula>
    </cfRule>
  </conditionalFormatting>
  <conditionalFormatting sqref="Z145:Z147">
    <cfRule type="expression" dxfId="1579" priority="415">
      <formula>$AA145=2</formula>
    </cfRule>
  </conditionalFormatting>
  <conditionalFormatting sqref="Z122">
    <cfRule type="expression" dxfId="1578" priority="376">
      <formula>$AA122=2</formula>
    </cfRule>
  </conditionalFormatting>
  <conditionalFormatting sqref="Z213">
    <cfRule type="expression" dxfId="1577" priority="414">
      <formula>$AA213=2</formula>
    </cfRule>
  </conditionalFormatting>
  <conditionalFormatting sqref="Z16">
    <cfRule type="expression" dxfId="1576" priority="413">
      <formula>$AA16=2</formula>
    </cfRule>
  </conditionalFormatting>
  <conditionalFormatting sqref="Z14">
    <cfRule type="expression" dxfId="1575" priority="412">
      <formula>$AA14=2</formula>
    </cfRule>
  </conditionalFormatting>
  <conditionalFormatting sqref="Z13">
    <cfRule type="expression" dxfId="1574" priority="411">
      <formula>$AA13=2</formula>
    </cfRule>
  </conditionalFormatting>
  <conditionalFormatting sqref="Z12">
    <cfRule type="expression" dxfId="1573" priority="410">
      <formula>$AA12=2</formula>
    </cfRule>
  </conditionalFormatting>
  <conditionalFormatting sqref="Z21">
    <cfRule type="expression" dxfId="1572" priority="409">
      <formula>$AA21=2</formula>
    </cfRule>
  </conditionalFormatting>
  <conditionalFormatting sqref="Z22">
    <cfRule type="expression" dxfId="1571" priority="408">
      <formula>$AA22=2</formula>
    </cfRule>
  </conditionalFormatting>
  <conditionalFormatting sqref="Z23">
    <cfRule type="expression" dxfId="1570" priority="407">
      <formula>$AA23=2</formula>
    </cfRule>
  </conditionalFormatting>
  <conditionalFormatting sqref="Z24">
    <cfRule type="expression" dxfId="1569" priority="406">
      <formula>$AA24=2</formula>
    </cfRule>
  </conditionalFormatting>
  <conditionalFormatting sqref="Z28">
    <cfRule type="expression" dxfId="1568" priority="405">
      <formula>$AA28=2</formula>
    </cfRule>
  </conditionalFormatting>
  <conditionalFormatting sqref="Z29">
    <cfRule type="expression" dxfId="1567" priority="404">
      <formula>$AA29=2</formula>
    </cfRule>
  </conditionalFormatting>
  <conditionalFormatting sqref="Z30">
    <cfRule type="expression" dxfId="1566" priority="403">
      <formula>$AA30=2</formula>
    </cfRule>
  </conditionalFormatting>
  <conditionalFormatting sqref="Z32">
    <cfRule type="expression" dxfId="1565" priority="402">
      <formula>$AA32=2</formula>
    </cfRule>
  </conditionalFormatting>
  <conditionalFormatting sqref="Z33">
    <cfRule type="expression" dxfId="1564" priority="401">
      <formula>$AA33=2</formula>
    </cfRule>
  </conditionalFormatting>
  <conditionalFormatting sqref="Z34">
    <cfRule type="expression" dxfId="1563" priority="400">
      <formula>$AA34=2</formula>
    </cfRule>
  </conditionalFormatting>
  <conditionalFormatting sqref="Z38:Z40">
    <cfRule type="expression" dxfId="1562" priority="399">
      <formula>$AA38=2</formula>
    </cfRule>
  </conditionalFormatting>
  <conditionalFormatting sqref="Z66">
    <cfRule type="expression" dxfId="1561" priority="398">
      <formula>$AA66=2</formula>
    </cfRule>
  </conditionalFormatting>
  <conditionalFormatting sqref="Z95">
    <cfRule type="expression" dxfId="1560" priority="397">
      <formula>$AA95=2</formula>
    </cfRule>
  </conditionalFormatting>
  <conditionalFormatting sqref="Z104">
    <cfRule type="expression" dxfId="1559" priority="396">
      <formula>$AA104=2</formula>
    </cfRule>
  </conditionalFormatting>
  <conditionalFormatting sqref="Z118">
    <cfRule type="expression" dxfId="1558" priority="395">
      <formula>$AA118=2</formula>
    </cfRule>
  </conditionalFormatting>
  <conditionalFormatting sqref="Z148">
    <cfRule type="expression" dxfId="1557" priority="394">
      <formula>$AA148=2</formula>
    </cfRule>
  </conditionalFormatting>
  <conditionalFormatting sqref="Z163">
    <cfRule type="expression" dxfId="1556" priority="393">
      <formula>$AA163=2</formula>
    </cfRule>
  </conditionalFormatting>
  <conditionalFormatting sqref="Z195">
    <cfRule type="expression" dxfId="1555" priority="392">
      <formula>$AA195=2</formula>
    </cfRule>
  </conditionalFormatting>
  <conditionalFormatting sqref="Z46">
    <cfRule type="expression" dxfId="1554" priority="391">
      <formula>$AA46=2</formula>
    </cfRule>
  </conditionalFormatting>
  <conditionalFormatting sqref="Z51">
    <cfRule type="expression" dxfId="1553" priority="390">
      <formula>$AA51=2</formula>
    </cfRule>
  </conditionalFormatting>
  <conditionalFormatting sqref="Z55">
    <cfRule type="expression" dxfId="1552" priority="389">
      <formula>$AA55=2</formula>
    </cfRule>
  </conditionalFormatting>
  <conditionalFormatting sqref="Z58">
    <cfRule type="expression" dxfId="1551" priority="388">
      <formula>$AA58=2</formula>
    </cfRule>
  </conditionalFormatting>
  <conditionalFormatting sqref="Z61">
    <cfRule type="expression" dxfId="1550" priority="387">
      <formula>$AA61=2</formula>
    </cfRule>
  </conditionalFormatting>
  <conditionalFormatting sqref="Z73">
    <cfRule type="expression" dxfId="1549" priority="386">
      <formula>$AA73=2</formula>
    </cfRule>
  </conditionalFormatting>
  <conditionalFormatting sqref="Z77">
    <cfRule type="expression" dxfId="1548" priority="385">
      <formula>$AA77=2</formula>
    </cfRule>
  </conditionalFormatting>
  <conditionalFormatting sqref="Z80">
    <cfRule type="expression" dxfId="1547" priority="384">
      <formula>$AA80=2</formula>
    </cfRule>
  </conditionalFormatting>
  <conditionalFormatting sqref="Z83">
    <cfRule type="expression" dxfId="1546" priority="383">
      <formula>$AA83=2</formula>
    </cfRule>
  </conditionalFormatting>
  <conditionalFormatting sqref="Z87">
    <cfRule type="expression" dxfId="1545" priority="382">
      <formula>$AA87=2</formula>
    </cfRule>
  </conditionalFormatting>
  <conditionalFormatting sqref="Z90">
    <cfRule type="expression" dxfId="1544" priority="381">
      <formula>$AA90=2</formula>
    </cfRule>
  </conditionalFormatting>
  <conditionalFormatting sqref="Z98">
    <cfRule type="expression" dxfId="1543" priority="380">
      <formula>$AA98=2</formula>
    </cfRule>
  </conditionalFormatting>
  <conditionalFormatting sqref="Z107">
    <cfRule type="expression" dxfId="1542" priority="379">
      <formula>$AA107=2</formula>
    </cfRule>
  </conditionalFormatting>
  <conditionalFormatting sqref="Z109">
    <cfRule type="expression" dxfId="1541" priority="378">
      <formula>$AA109=2</formula>
    </cfRule>
  </conditionalFormatting>
  <conditionalFormatting sqref="Z113">
    <cfRule type="expression" dxfId="1540" priority="377">
      <formula>$AA113=2</formula>
    </cfRule>
  </conditionalFormatting>
  <conditionalFormatting sqref="Z126">
    <cfRule type="expression" dxfId="1539" priority="375">
      <formula>$AA126=2</formula>
    </cfRule>
  </conditionalFormatting>
  <conditionalFormatting sqref="Z130">
    <cfRule type="expression" dxfId="1538" priority="374">
      <formula>$AA130=2</formula>
    </cfRule>
  </conditionalFormatting>
  <conditionalFormatting sqref="Z136">
    <cfRule type="expression" dxfId="1537" priority="373">
      <formula>$AA136=2</formula>
    </cfRule>
  </conditionalFormatting>
  <conditionalFormatting sqref="Z141">
    <cfRule type="expression" dxfId="1536" priority="372">
      <formula>$AA141=2</formula>
    </cfRule>
  </conditionalFormatting>
  <conditionalFormatting sqref="Z154">
    <cfRule type="expression" dxfId="1535" priority="371">
      <formula>$AA154=2</formula>
    </cfRule>
  </conditionalFormatting>
  <conditionalFormatting sqref="Z156">
    <cfRule type="expression" dxfId="1534" priority="370">
      <formula>$AA156=2</formula>
    </cfRule>
  </conditionalFormatting>
  <conditionalFormatting sqref="Z158">
    <cfRule type="expression" dxfId="1533" priority="369">
      <formula>$AA158=2</formula>
    </cfRule>
  </conditionalFormatting>
  <conditionalFormatting sqref="Z166">
    <cfRule type="expression" dxfId="1532" priority="368">
      <formula>$AA166=2</formula>
    </cfRule>
  </conditionalFormatting>
  <conditionalFormatting sqref="Z170:Z171">
    <cfRule type="expression" dxfId="1531" priority="367">
      <formula>$AA170=2</formula>
    </cfRule>
  </conditionalFormatting>
  <conditionalFormatting sqref="Z178">
    <cfRule type="expression" dxfId="1530" priority="366">
      <formula>$AA178=2</formula>
    </cfRule>
  </conditionalFormatting>
  <conditionalFormatting sqref="Z182">
    <cfRule type="expression" dxfId="1529" priority="365">
      <formula>$AA182=2</formula>
    </cfRule>
  </conditionalFormatting>
  <conditionalFormatting sqref="Z184">
    <cfRule type="expression" dxfId="1528" priority="364">
      <formula>$AA184=2</formula>
    </cfRule>
  </conditionalFormatting>
  <conditionalFormatting sqref="Z187">
    <cfRule type="expression" dxfId="1527" priority="363">
      <formula>$AA187=2</formula>
    </cfRule>
  </conditionalFormatting>
  <conditionalFormatting sqref="Z200">
    <cfRule type="expression" dxfId="1526" priority="362">
      <formula>$AA200=2</formula>
    </cfRule>
  </conditionalFormatting>
  <conditionalFormatting sqref="Z203">
    <cfRule type="expression" dxfId="1525" priority="361">
      <formula>$AA203=2</formula>
    </cfRule>
  </conditionalFormatting>
  <conditionalFormatting sqref="Z206">
    <cfRule type="expression" dxfId="1524" priority="360">
      <formula>$AA206=2</formula>
    </cfRule>
  </conditionalFormatting>
  <conditionalFormatting sqref="Z41:Z42">
    <cfRule type="expression" dxfId="1523" priority="359">
      <formula>$AA41=2</formula>
    </cfRule>
  </conditionalFormatting>
  <conditionalFormatting sqref="Z47:Z50">
    <cfRule type="expression" dxfId="1522" priority="358">
      <formula>$AA47=2</formula>
    </cfRule>
  </conditionalFormatting>
  <conditionalFormatting sqref="Z52:Z54">
    <cfRule type="expression" dxfId="1521" priority="357">
      <formula>$AA52=2</formula>
    </cfRule>
  </conditionalFormatting>
  <conditionalFormatting sqref="Z56">
    <cfRule type="expression" dxfId="1520" priority="356">
      <formula>$AA56=2</formula>
    </cfRule>
  </conditionalFormatting>
  <conditionalFormatting sqref="Z59:Z60">
    <cfRule type="expression" dxfId="1519" priority="355">
      <formula>$AA59=2</formula>
    </cfRule>
  </conditionalFormatting>
  <conditionalFormatting sqref="Z62">
    <cfRule type="expression" dxfId="1518" priority="354">
      <formula>$AA62=2</formula>
    </cfRule>
  </conditionalFormatting>
  <conditionalFormatting sqref="Z74:Z76">
    <cfRule type="expression" dxfId="1517" priority="352">
      <formula>$AA74=2</formula>
    </cfRule>
  </conditionalFormatting>
  <conditionalFormatting sqref="Z78:Z79">
    <cfRule type="expression" dxfId="1516" priority="351">
      <formula>$AA78=2</formula>
    </cfRule>
  </conditionalFormatting>
  <conditionalFormatting sqref="Z81:Z82">
    <cfRule type="expression" dxfId="1515" priority="350">
      <formula>$AA81=2</formula>
    </cfRule>
  </conditionalFormatting>
  <conditionalFormatting sqref="Z86">
    <cfRule type="expression" dxfId="1514" priority="349">
      <formula>$AA86=2</formula>
    </cfRule>
  </conditionalFormatting>
  <conditionalFormatting sqref="Z88:Z89">
    <cfRule type="expression" dxfId="1513" priority="348">
      <formula>$AA88=2</formula>
    </cfRule>
  </conditionalFormatting>
  <conditionalFormatting sqref="Z91">
    <cfRule type="expression" dxfId="1512" priority="347">
      <formula>$AA91=2</formula>
    </cfRule>
  </conditionalFormatting>
  <conditionalFormatting sqref="Z96:Z97">
    <cfRule type="expression" dxfId="1511" priority="346">
      <formula>$AA96=2</formula>
    </cfRule>
  </conditionalFormatting>
  <conditionalFormatting sqref="Z100">
    <cfRule type="expression" dxfId="1510" priority="345">
      <formula>$AA100=2</formula>
    </cfRule>
  </conditionalFormatting>
  <conditionalFormatting sqref="Z106">
    <cfRule type="expression" dxfId="1509" priority="344">
      <formula>$AA106=2</formula>
    </cfRule>
  </conditionalFormatting>
  <conditionalFormatting sqref="Z108">
    <cfRule type="expression" dxfId="1508" priority="343">
      <formula>$AA108=2</formula>
    </cfRule>
  </conditionalFormatting>
  <conditionalFormatting sqref="Z110:Z112">
    <cfRule type="expression" dxfId="1507" priority="342">
      <formula>$AA110=2</formula>
    </cfRule>
  </conditionalFormatting>
  <conditionalFormatting sqref="Z114">
    <cfRule type="expression" dxfId="1506" priority="341">
      <formula>$AA114=2</formula>
    </cfRule>
  </conditionalFormatting>
  <conditionalFormatting sqref="Z119:Z120">
    <cfRule type="expression" dxfId="1505" priority="340">
      <formula>$AA119=2</formula>
    </cfRule>
  </conditionalFormatting>
  <conditionalFormatting sqref="Z121">
    <cfRule type="expression" dxfId="1504" priority="339">
      <formula>$AA121=2</formula>
    </cfRule>
  </conditionalFormatting>
  <conditionalFormatting sqref="Z123:Z124">
    <cfRule type="expression" dxfId="1503" priority="338">
      <formula>$AA123=2</formula>
    </cfRule>
  </conditionalFormatting>
  <conditionalFormatting sqref="Z127:Z129">
    <cfRule type="expression" dxfId="1502" priority="337">
      <formula>$AA127=2</formula>
    </cfRule>
  </conditionalFormatting>
  <conditionalFormatting sqref="Z131:Z134">
    <cfRule type="expression" dxfId="1501" priority="336">
      <formula>$AA131=2</formula>
    </cfRule>
  </conditionalFormatting>
  <conditionalFormatting sqref="Z138:Z140">
    <cfRule type="expression" dxfId="1500" priority="335">
      <formula>$AA138=2</formula>
    </cfRule>
  </conditionalFormatting>
  <conditionalFormatting sqref="Z142:Z144">
    <cfRule type="expression" dxfId="1499" priority="334">
      <formula>$AA142=2</formula>
    </cfRule>
  </conditionalFormatting>
  <conditionalFormatting sqref="Z150:Z153">
    <cfRule type="expression" dxfId="1498" priority="333">
      <formula>$AA150=2</formula>
    </cfRule>
  </conditionalFormatting>
  <conditionalFormatting sqref="Z155">
    <cfRule type="expression" dxfId="1497" priority="332">
      <formula>$AA155=2</formula>
    </cfRule>
  </conditionalFormatting>
  <conditionalFormatting sqref="Z159">
    <cfRule type="expression" dxfId="1496" priority="331">
      <formula>$AA159=2</formula>
    </cfRule>
  </conditionalFormatting>
  <conditionalFormatting sqref="Z164:Z165">
    <cfRule type="expression" dxfId="1495" priority="330">
      <formula>$AA164=2</formula>
    </cfRule>
  </conditionalFormatting>
  <conditionalFormatting sqref="Z167:Z169">
    <cfRule type="expression" dxfId="1494" priority="329">
      <formula>$AA167=2</formula>
    </cfRule>
  </conditionalFormatting>
  <conditionalFormatting sqref="Z175:Z177">
    <cfRule type="expression" dxfId="1493" priority="328">
      <formula>$AA175=2</formula>
    </cfRule>
  </conditionalFormatting>
  <conditionalFormatting sqref="Z179:Z181">
    <cfRule type="expression" dxfId="1492" priority="327">
      <formula>$AA179=2</formula>
    </cfRule>
  </conditionalFormatting>
  <conditionalFormatting sqref="Z183">
    <cfRule type="expression" dxfId="1491" priority="326">
      <formula>$AA183=2</formula>
    </cfRule>
  </conditionalFormatting>
  <conditionalFormatting sqref="Z185:Z186">
    <cfRule type="expression" dxfId="1490" priority="325">
      <formula>$AA185=2</formula>
    </cfRule>
  </conditionalFormatting>
  <conditionalFormatting sqref="Z188:Z191">
    <cfRule type="expression" dxfId="1489" priority="324">
      <formula>$AA188=2</formula>
    </cfRule>
  </conditionalFormatting>
  <conditionalFormatting sqref="Z201:Z202">
    <cfRule type="expression" dxfId="1488" priority="323">
      <formula>$AA201=2</formula>
    </cfRule>
  </conditionalFormatting>
  <conditionalFormatting sqref="Z204:Z205">
    <cfRule type="expression" dxfId="1487" priority="322">
      <formula>$AA204=2</formula>
    </cfRule>
  </conditionalFormatting>
  <conditionalFormatting sqref="Z207:Z208">
    <cfRule type="expression" dxfId="1486" priority="321">
      <formula>$AA207=2</formula>
    </cfRule>
  </conditionalFormatting>
  <conditionalFormatting sqref="Z197">
    <cfRule type="expression" dxfId="1485" priority="320">
      <formula>$AA197=2</formula>
    </cfRule>
  </conditionalFormatting>
  <conditionalFormatting sqref="Z199">
    <cfRule type="expression" dxfId="1484" priority="319">
      <formula>$AA199=2</formula>
    </cfRule>
  </conditionalFormatting>
  <conditionalFormatting sqref="Z135">
    <cfRule type="expression" dxfId="1483" priority="318">
      <formula>$AA135=2</formula>
    </cfRule>
  </conditionalFormatting>
  <conditionalFormatting sqref="Z198">
    <cfRule type="expression" dxfId="1482" priority="317">
      <formula>$AA198=2</formula>
    </cfRule>
  </conditionalFormatting>
  <conditionalFormatting sqref="Z25">
    <cfRule type="expression" dxfId="1481" priority="316">
      <formula>$AA25=2</formula>
    </cfRule>
  </conditionalFormatting>
  <conditionalFormatting sqref="Z26">
    <cfRule type="expression" dxfId="1480" priority="315">
      <formula>$AA26=2</formula>
    </cfRule>
  </conditionalFormatting>
  <conditionalFormatting sqref="Z85">
    <cfRule type="expression" dxfId="1479" priority="314">
      <formula>$AA85=2</formula>
    </cfRule>
  </conditionalFormatting>
  <conditionalFormatting sqref="Z99">
    <cfRule type="expression" dxfId="1478" priority="313">
      <formula>$AA99=2</formula>
    </cfRule>
  </conditionalFormatting>
  <conditionalFormatting sqref="Z15">
    <cfRule type="expression" dxfId="1477" priority="312">
      <formula>$AA15=2</formula>
    </cfRule>
  </conditionalFormatting>
  <conditionalFormatting sqref="Z157">
    <cfRule type="expression" dxfId="1476" priority="311">
      <formula>$AA157=2</formula>
    </cfRule>
  </conditionalFormatting>
  <conditionalFormatting sqref="Z172:Z173">
    <cfRule type="expression" dxfId="1475" priority="310">
      <formula>$AA172=2</formula>
    </cfRule>
  </conditionalFormatting>
  <conditionalFormatting sqref="Z174">
    <cfRule type="expression" dxfId="1474" priority="309">
      <formula>$AA174=2</formula>
    </cfRule>
  </conditionalFormatting>
  <conditionalFormatting sqref="Z173">
    <cfRule type="expression" dxfId="1473" priority="308">
      <formula>$AA173=2</formula>
    </cfRule>
  </conditionalFormatting>
  <conditionalFormatting sqref="Z177">
    <cfRule type="expression" dxfId="1472" priority="307">
      <formula>$AA177=2</formula>
    </cfRule>
  </conditionalFormatting>
  <conditionalFormatting sqref="Z57">
    <cfRule type="expression" dxfId="1471" priority="306">
      <formula>$AA57=2</formula>
    </cfRule>
  </conditionalFormatting>
  <conditionalFormatting sqref="Z125">
    <cfRule type="expression" dxfId="1470" priority="305">
      <formula>$AA125=2</formula>
    </cfRule>
  </conditionalFormatting>
  <conditionalFormatting sqref="Z44">
    <cfRule type="expression" dxfId="1469" priority="304">
      <formula>$AA44=2</formula>
    </cfRule>
  </conditionalFormatting>
  <conditionalFormatting sqref="Z43">
    <cfRule type="expression" dxfId="1468" priority="303">
      <formula>$AA43=2</formula>
    </cfRule>
  </conditionalFormatting>
  <conditionalFormatting sqref="Z45">
    <cfRule type="expression" dxfId="1467" priority="302">
      <formula>$AA45=2</formula>
    </cfRule>
  </conditionalFormatting>
  <conditionalFormatting sqref="L67">
    <cfRule type="expression" dxfId="1466" priority="300">
      <formula>$AA67=2</formula>
    </cfRule>
  </conditionalFormatting>
  <conditionalFormatting sqref="Z67">
    <cfRule type="expression" dxfId="1465" priority="299">
      <formula>$AA67=2</formula>
    </cfRule>
  </conditionalFormatting>
  <conditionalFormatting sqref="H39:I40">
    <cfRule type="expression" dxfId="1464" priority="298">
      <formula>$AC39=2</formula>
    </cfRule>
  </conditionalFormatting>
  <conditionalFormatting sqref="G39:G40">
    <cfRule type="expression" dxfId="1463" priority="297">
      <formula>$AC39=2</formula>
    </cfRule>
  </conditionalFormatting>
  <conditionalFormatting sqref="G39:G40">
    <cfRule type="expression" dxfId="1462" priority="296">
      <formula>G39&gt;F39</formula>
    </cfRule>
  </conditionalFormatting>
  <conditionalFormatting sqref="H39:H40">
    <cfRule type="expression" dxfId="1461" priority="295">
      <formula>F39=0</formula>
    </cfRule>
  </conditionalFormatting>
  <conditionalFormatting sqref="I39:I40">
    <cfRule type="expression" dxfId="1460" priority="294">
      <formula>F39=0</formula>
    </cfRule>
  </conditionalFormatting>
  <conditionalFormatting sqref="N39:N40">
    <cfRule type="expression" dxfId="1459" priority="293">
      <formula>$AC39=2</formula>
    </cfRule>
  </conditionalFormatting>
  <conditionalFormatting sqref="N39:N40">
    <cfRule type="expression" dxfId="1458" priority="292">
      <formula>N39&gt;F39</formula>
    </cfRule>
  </conditionalFormatting>
  <conditionalFormatting sqref="O39:O40">
    <cfRule type="expression" dxfId="1457" priority="289">
      <formula>$AC39=2</formula>
    </cfRule>
  </conditionalFormatting>
  <conditionalFormatting sqref="O39:O40">
    <cfRule type="expression" dxfId="1456" priority="288">
      <formula>F39=0</formula>
    </cfRule>
  </conditionalFormatting>
  <conditionalFormatting sqref="V39:V40">
    <cfRule type="expression" dxfId="1455" priority="287">
      <formula>$AC39=2</formula>
    </cfRule>
  </conditionalFormatting>
  <conditionalFormatting sqref="U39:U40">
    <cfRule type="expression" dxfId="1454" priority="286">
      <formula>$AC39=2</formula>
    </cfRule>
  </conditionalFormatting>
  <conditionalFormatting sqref="U39:U40">
    <cfRule type="expression" dxfId="1453" priority="285">
      <formula>U39&gt;F39</formula>
    </cfRule>
  </conditionalFormatting>
  <conditionalFormatting sqref="V39:V40">
    <cfRule type="expression" dxfId="1452" priority="282">
      <formula>F39=0</formula>
    </cfRule>
  </conditionalFormatting>
  <conditionalFormatting sqref="AB39:AB40">
    <cfRule type="expression" dxfId="1451" priority="280">
      <formula>$AJ$4="Nei"</formula>
    </cfRule>
    <cfRule type="expression" dxfId="1450" priority="281">
      <formula>$AC39=2</formula>
    </cfRule>
  </conditionalFormatting>
  <conditionalFormatting sqref="O190">
    <cfRule type="expression" dxfId="1449" priority="279">
      <formula>$AC190=2</formula>
    </cfRule>
  </conditionalFormatting>
  <conditionalFormatting sqref="O190">
    <cfRule type="expression" dxfId="1448" priority="278">
      <formula>F190=0</formula>
    </cfRule>
  </conditionalFormatting>
  <conditionalFormatting sqref="V190">
    <cfRule type="expression" dxfId="1447" priority="277">
      <formula>$AC190=2</formula>
    </cfRule>
  </conditionalFormatting>
  <conditionalFormatting sqref="V190">
    <cfRule type="expression" dxfId="1446" priority="276">
      <formula>F190=0</formula>
    </cfRule>
  </conditionalFormatting>
  <conditionalFormatting sqref="H153:I153">
    <cfRule type="expression" dxfId="1445" priority="275">
      <formula>$AC153=2</formula>
    </cfRule>
  </conditionalFormatting>
  <conditionalFormatting sqref="J153:K153">
    <cfRule type="expression" dxfId="1444" priority="271">
      <formula>$AD153=4</formula>
    </cfRule>
    <cfRule type="expression" dxfId="1443" priority="272">
      <formula>$AD153=3</formula>
    </cfRule>
    <cfRule type="expression" dxfId="1442" priority="273">
      <formula>$AD153=2</formula>
    </cfRule>
    <cfRule type="expression" dxfId="1441" priority="274">
      <formula>$AD153=1</formula>
    </cfRule>
  </conditionalFormatting>
  <conditionalFormatting sqref="J153:K153">
    <cfRule type="expression" dxfId="1440" priority="270">
      <formula>$AC153=2</formula>
    </cfRule>
  </conditionalFormatting>
  <conditionalFormatting sqref="G153">
    <cfRule type="expression" dxfId="1439" priority="269">
      <formula>$AC153=2</formula>
    </cfRule>
  </conditionalFormatting>
  <conditionalFormatting sqref="G153">
    <cfRule type="expression" dxfId="1438" priority="268">
      <formula>G153&gt;F153</formula>
    </cfRule>
  </conditionalFormatting>
  <conditionalFormatting sqref="H153">
    <cfRule type="expression" dxfId="1437" priority="267">
      <formula>F153=0</formula>
    </cfRule>
  </conditionalFormatting>
  <conditionalFormatting sqref="I153">
    <cfRule type="expression" dxfId="1436" priority="266">
      <formula>F153=0</formula>
    </cfRule>
  </conditionalFormatting>
  <conditionalFormatting sqref="Q153:R153">
    <cfRule type="expression" dxfId="1435" priority="265">
      <formula>$AC153=2</formula>
    </cfRule>
  </conditionalFormatting>
  <conditionalFormatting sqref="Q153:R153">
    <cfRule type="expression" dxfId="1434" priority="259">
      <formula>$AE153=4</formula>
    </cfRule>
    <cfRule type="expression" dxfId="1433" priority="260">
      <formula>$AE153=3</formula>
    </cfRule>
    <cfRule type="expression" dxfId="1432" priority="261">
      <formula>$AE153=2</formula>
    </cfRule>
    <cfRule type="expression" dxfId="1431" priority="262">
      <formula>$AE153=1</formula>
    </cfRule>
  </conditionalFormatting>
  <conditionalFormatting sqref="O153">
    <cfRule type="expression" dxfId="1430" priority="258">
      <formula>$AC153=2</formula>
    </cfRule>
  </conditionalFormatting>
  <conditionalFormatting sqref="N153">
    <cfRule type="expression" dxfId="1429" priority="257">
      <formula>$AC153=2</formula>
    </cfRule>
  </conditionalFormatting>
  <conditionalFormatting sqref="N153">
    <cfRule type="expression" dxfId="1428" priority="256">
      <formula>N153&gt;F153</formula>
    </cfRule>
  </conditionalFormatting>
  <conditionalFormatting sqref="O153">
    <cfRule type="expression" dxfId="1427" priority="253">
      <formula>F153=0</formula>
    </cfRule>
  </conditionalFormatting>
  <conditionalFormatting sqref="X153:Y153">
    <cfRule type="expression" dxfId="1426" priority="252">
      <formula>$AC153=2</formula>
    </cfRule>
  </conditionalFormatting>
  <conditionalFormatting sqref="X153:Y153">
    <cfRule type="expression" dxfId="1425" priority="248">
      <formula>$AF153=4</formula>
    </cfRule>
    <cfRule type="expression" dxfId="1424" priority="249">
      <formula>$AF153=3</formula>
    </cfRule>
    <cfRule type="expression" dxfId="1423" priority="250">
      <formula>$AF153=2</formula>
    </cfRule>
    <cfRule type="expression" dxfId="1422" priority="251">
      <formula>$AF153=1</formula>
    </cfRule>
  </conditionalFormatting>
  <conditionalFormatting sqref="V153">
    <cfRule type="expression" dxfId="1421" priority="245">
      <formula>$AC153=2</formula>
    </cfRule>
  </conditionalFormatting>
  <conditionalFormatting sqref="U153">
    <cfRule type="expression" dxfId="1420" priority="244">
      <formula>$AC153=2</formula>
    </cfRule>
  </conditionalFormatting>
  <conditionalFormatting sqref="U153">
    <cfRule type="expression" dxfId="1419" priority="243">
      <formula>U153&gt;F153</formula>
    </cfRule>
  </conditionalFormatting>
  <conditionalFormatting sqref="V153">
    <cfRule type="expression" dxfId="1418" priority="240">
      <formula>F153=0</formula>
    </cfRule>
  </conditionalFormatting>
  <conditionalFormatting sqref="H165:I165">
    <cfRule type="expression" dxfId="1417" priority="239">
      <formula>$AC165=2</formula>
    </cfRule>
  </conditionalFormatting>
  <conditionalFormatting sqref="J165">
    <cfRule type="expression" dxfId="1416" priority="235">
      <formula>$AD165=4</formula>
    </cfRule>
    <cfRule type="expression" dxfId="1415" priority="236">
      <formula>$AD165=3</formula>
    </cfRule>
    <cfRule type="expression" dxfId="1414" priority="237">
      <formula>$AD165=2</formula>
    </cfRule>
    <cfRule type="expression" dxfId="1413" priority="238">
      <formula>$AD165=1</formula>
    </cfRule>
  </conditionalFormatting>
  <conditionalFormatting sqref="J165">
    <cfRule type="expression" dxfId="1412" priority="234">
      <formula>$AC165=2</formula>
    </cfRule>
  </conditionalFormatting>
  <conditionalFormatting sqref="G165">
    <cfRule type="expression" dxfId="1411" priority="233">
      <formula>$AC165=2</formula>
    </cfRule>
  </conditionalFormatting>
  <conditionalFormatting sqref="G165">
    <cfRule type="expression" dxfId="1410" priority="232">
      <formula>G165&gt;F165</formula>
    </cfRule>
  </conditionalFormatting>
  <conditionalFormatting sqref="H165">
    <cfRule type="expression" dxfId="1409" priority="231">
      <formula>F165=0</formula>
    </cfRule>
  </conditionalFormatting>
  <conditionalFormatting sqref="I165">
    <cfRule type="expression" dxfId="1408" priority="230">
      <formula>F165=0</formula>
    </cfRule>
  </conditionalFormatting>
  <conditionalFormatting sqref="Q165">
    <cfRule type="expression" dxfId="1407" priority="229">
      <formula>$AC165=2</formula>
    </cfRule>
  </conditionalFormatting>
  <conditionalFormatting sqref="Q165">
    <cfRule type="expression" dxfId="1406" priority="223">
      <formula>$AE165=4</formula>
    </cfRule>
    <cfRule type="expression" dxfId="1405" priority="224">
      <formula>$AE165=3</formula>
    </cfRule>
    <cfRule type="expression" dxfId="1404" priority="225">
      <formula>$AE165=2</formula>
    </cfRule>
    <cfRule type="expression" dxfId="1403" priority="226">
      <formula>$AE165=1</formula>
    </cfRule>
  </conditionalFormatting>
  <conditionalFormatting sqref="O165">
    <cfRule type="expression" dxfId="1402" priority="820">
      <formula>$AC165=2</formula>
    </cfRule>
  </conditionalFormatting>
  <conditionalFormatting sqref="N165">
    <cfRule type="expression" dxfId="1401" priority="221">
      <formula>$AC165=2</formula>
    </cfRule>
  </conditionalFormatting>
  <conditionalFormatting sqref="N165">
    <cfRule type="expression" dxfId="1400" priority="220">
      <formula>N165&gt;F165</formula>
    </cfRule>
  </conditionalFormatting>
  <conditionalFormatting sqref="O165">
    <cfRule type="expression" dxfId="1399" priority="222">
      <formula>F165=0</formula>
    </cfRule>
  </conditionalFormatting>
  <conditionalFormatting sqref="X165:Y165">
    <cfRule type="expression" dxfId="1398" priority="216">
      <formula>$AC165=2</formula>
    </cfRule>
  </conditionalFormatting>
  <conditionalFormatting sqref="X165:Y165">
    <cfRule type="expression" dxfId="1397" priority="212">
      <formula>$AF165=4</formula>
    </cfRule>
    <cfRule type="expression" dxfId="1396" priority="213">
      <formula>$AF165=3</formula>
    </cfRule>
    <cfRule type="expression" dxfId="1395" priority="214">
      <formula>$AF165=2</formula>
    </cfRule>
    <cfRule type="expression" dxfId="1394" priority="215">
      <formula>$AF165=1</formula>
    </cfRule>
  </conditionalFormatting>
  <conditionalFormatting sqref="V165">
    <cfRule type="expression" dxfId="1393" priority="819">
      <formula>$AC165=2</formula>
    </cfRule>
  </conditionalFormatting>
  <conditionalFormatting sqref="U165">
    <cfRule type="expression" dxfId="1392" priority="208">
      <formula>$AC165=2</formula>
    </cfRule>
  </conditionalFormatting>
  <conditionalFormatting sqref="U165">
    <cfRule type="expression" dxfId="1391" priority="207">
      <formula>U165&gt;F165</formula>
    </cfRule>
  </conditionalFormatting>
  <conditionalFormatting sqref="V165">
    <cfRule type="expression" dxfId="1390" priority="209">
      <formula>F165=0</formula>
    </cfRule>
  </conditionalFormatting>
  <conditionalFormatting sqref="N4:S7">
    <cfRule type="expression" dxfId="1389" priority="203">
      <formula>$S$8=AD_no</formula>
    </cfRule>
  </conditionalFormatting>
  <conditionalFormatting sqref="U4:Z7">
    <cfRule type="expression" dxfId="1388" priority="202">
      <formula>$Z$8=AD_no</formula>
    </cfRule>
  </conditionalFormatting>
  <conditionalFormatting sqref="G70">
    <cfRule type="expression" dxfId="1387" priority="200">
      <formula>$AC70=2</formula>
    </cfRule>
  </conditionalFormatting>
  <conditionalFormatting sqref="G70">
    <cfRule type="expression" dxfId="1386" priority="199">
      <formula>G70&gt;F70</formula>
    </cfRule>
  </conditionalFormatting>
  <conditionalFormatting sqref="I70">
    <cfRule type="expression" dxfId="1385" priority="196">
      <formula>$AC70=2</formula>
    </cfRule>
  </conditionalFormatting>
  <conditionalFormatting sqref="I70">
    <cfRule type="expression" dxfId="1384" priority="195">
      <formula>F70=0</formula>
    </cfRule>
  </conditionalFormatting>
  <conditionalFormatting sqref="H70">
    <cfRule type="expression" dxfId="1383" priority="194">
      <formula>$AC70=2</formula>
    </cfRule>
  </conditionalFormatting>
  <conditionalFormatting sqref="H70">
    <cfRule type="expression" dxfId="1382" priority="193">
      <formula>F70=0</formula>
    </cfRule>
  </conditionalFormatting>
  <conditionalFormatting sqref="N70">
    <cfRule type="expression" dxfId="1381" priority="192">
      <formula>$AC70=2</formula>
    </cfRule>
  </conditionalFormatting>
  <conditionalFormatting sqref="N70">
    <cfRule type="expression" dxfId="1380" priority="191">
      <formula>N70&gt;F70</formula>
    </cfRule>
  </conditionalFormatting>
  <conditionalFormatting sqref="U70">
    <cfRule type="expression" dxfId="1379" priority="183">
      <formula>$AC70=2</formula>
    </cfRule>
  </conditionalFormatting>
  <conditionalFormatting sqref="U70">
    <cfRule type="expression" dxfId="1378" priority="182">
      <formula>U70&gt;F70</formula>
    </cfRule>
  </conditionalFormatting>
  <conditionalFormatting sqref="H105:I105">
    <cfRule type="expression" dxfId="1377" priority="178">
      <formula>$AC105=2</formula>
    </cfRule>
  </conditionalFormatting>
  <conditionalFormatting sqref="H105">
    <cfRule type="expression" dxfId="1376" priority="175">
      <formula>F105=0</formula>
    </cfRule>
  </conditionalFormatting>
  <conditionalFormatting sqref="I105">
    <cfRule type="expression" dxfId="1375" priority="174">
      <formula>F105=0</formula>
    </cfRule>
  </conditionalFormatting>
  <conditionalFormatting sqref="Q105:R105">
    <cfRule type="expression" dxfId="1374" priority="173">
      <formula>$AC105=2</formula>
    </cfRule>
  </conditionalFormatting>
  <conditionalFormatting sqref="Q105:R105">
    <cfRule type="expression" dxfId="1373" priority="169">
      <formula>$AE105=4</formula>
    </cfRule>
    <cfRule type="expression" dxfId="1372" priority="170">
      <formula>$AE105=3</formula>
    </cfRule>
    <cfRule type="expression" dxfId="1371" priority="171">
      <formula>$AE105=2</formula>
    </cfRule>
    <cfRule type="expression" dxfId="1370" priority="172">
      <formula>$AE105=1</formula>
    </cfRule>
  </conditionalFormatting>
  <conditionalFormatting sqref="X105:Y105">
    <cfRule type="expression" dxfId="1369" priority="165">
      <formula>$AF105=4</formula>
    </cfRule>
    <cfRule type="expression" dxfId="1368" priority="166">
      <formula>$AF105=3</formula>
    </cfRule>
    <cfRule type="expression" dxfId="1367" priority="167">
      <formula>$AF105=2</formula>
    </cfRule>
    <cfRule type="expression" dxfId="1366" priority="168">
      <formula>$AF105=1</formula>
    </cfRule>
  </conditionalFormatting>
  <conditionalFormatting sqref="X105:Y105">
    <cfRule type="expression" dxfId="1365" priority="164">
      <formula>$AC105=2</formula>
    </cfRule>
  </conditionalFormatting>
  <conditionalFormatting sqref="O105">
    <cfRule type="expression" dxfId="1364" priority="159">
      <formula>$AC105=2</formula>
    </cfRule>
  </conditionalFormatting>
  <conditionalFormatting sqref="V105">
    <cfRule type="expression" dxfId="1363" priority="158">
      <formula>$AC105=2</formula>
    </cfRule>
  </conditionalFormatting>
  <conditionalFormatting sqref="O105">
    <cfRule type="expression" dxfId="1362" priority="149">
      <formula>F105=0</formula>
    </cfRule>
  </conditionalFormatting>
  <conditionalFormatting sqref="V105">
    <cfRule type="expression" dxfId="1361" priority="148">
      <formula>F105=0</formula>
    </cfRule>
  </conditionalFormatting>
  <conditionalFormatting sqref="S105">
    <cfRule type="expression" dxfId="1360" priority="147">
      <formula>$AA105=2</formula>
    </cfRule>
  </conditionalFormatting>
  <conditionalFormatting sqref="Z105">
    <cfRule type="expression" dxfId="1359" priority="146">
      <formula>$AA105=2</formula>
    </cfRule>
  </conditionalFormatting>
  <conditionalFormatting sqref="J149:K149">
    <cfRule type="expression" dxfId="1358" priority="140">
      <formula>$AD149=4</formula>
    </cfRule>
    <cfRule type="expression" dxfId="1357" priority="141">
      <formula>$AD149=3</formula>
    </cfRule>
    <cfRule type="expression" dxfId="1356" priority="142">
      <formula>$AD149=2</formula>
    </cfRule>
    <cfRule type="expression" dxfId="1355" priority="143">
      <formula>$AD149=1</formula>
    </cfRule>
  </conditionalFormatting>
  <conditionalFormatting sqref="J149:K149">
    <cfRule type="expression" dxfId="1354" priority="139">
      <formula>$AC149=2</formula>
    </cfRule>
  </conditionalFormatting>
  <conditionalFormatting sqref="L149">
    <cfRule type="expression" dxfId="1353" priority="138">
      <formula>$AC149=2</formula>
    </cfRule>
  </conditionalFormatting>
  <conditionalFormatting sqref="H149:I149">
    <cfRule type="expression" dxfId="1352" priority="137">
      <formula>$AC149=2</formula>
    </cfRule>
  </conditionalFormatting>
  <conditionalFormatting sqref="H149">
    <cfRule type="expression" dxfId="1351" priority="134">
      <formula>F149=0</formula>
    </cfRule>
  </conditionalFormatting>
  <conditionalFormatting sqref="I149">
    <cfRule type="expression" dxfId="1350" priority="133">
      <formula>F149=0</formula>
    </cfRule>
  </conditionalFormatting>
  <conditionalFormatting sqref="Q149:R149">
    <cfRule type="expression" dxfId="1349" priority="132">
      <formula>$AC149=2</formula>
    </cfRule>
  </conditionalFormatting>
  <conditionalFormatting sqref="Q149:R149">
    <cfRule type="expression" dxfId="1348" priority="128">
      <formula>$AE149=4</formula>
    </cfRule>
    <cfRule type="expression" dxfId="1347" priority="129">
      <formula>$AE149=3</formula>
    </cfRule>
    <cfRule type="expression" dxfId="1346" priority="130">
      <formula>$AE149=2</formula>
    </cfRule>
    <cfRule type="expression" dxfId="1345" priority="131">
      <formula>$AE149=1</formula>
    </cfRule>
  </conditionalFormatting>
  <conditionalFormatting sqref="X149:Y149">
    <cfRule type="expression" dxfId="1344" priority="124">
      <formula>$AF149=4</formula>
    </cfRule>
    <cfRule type="expression" dxfId="1343" priority="125">
      <formula>$AF149=3</formula>
    </cfRule>
    <cfRule type="expression" dxfId="1342" priority="126">
      <formula>$AF149=2</formula>
    </cfRule>
    <cfRule type="expression" dxfId="1341" priority="127">
      <formula>$AF149=1</formula>
    </cfRule>
  </conditionalFormatting>
  <conditionalFormatting sqref="X149:Y149">
    <cfRule type="expression" dxfId="1340" priority="123">
      <formula>$AC149=2</formula>
    </cfRule>
  </conditionalFormatting>
  <conditionalFormatting sqref="O149">
    <cfRule type="expression" dxfId="1339" priority="118">
      <formula>$AC149=2</formula>
    </cfRule>
  </conditionalFormatting>
  <conditionalFormatting sqref="V149">
    <cfRule type="expression" dxfId="1338" priority="117">
      <formula>$AC149=2</formula>
    </cfRule>
  </conditionalFormatting>
  <conditionalFormatting sqref="O149">
    <cfRule type="expression" dxfId="1337" priority="108">
      <formula>F149=0</formula>
    </cfRule>
  </conditionalFormatting>
  <conditionalFormatting sqref="V149">
    <cfRule type="expression" dxfId="1336" priority="107">
      <formula>F149=0</formula>
    </cfRule>
  </conditionalFormatting>
  <conditionalFormatting sqref="S149">
    <cfRule type="expression" dxfId="1335" priority="106">
      <formula>$AA149=2</formula>
    </cfRule>
  </conditionalFormatting>
  <conditionalFormatting sqref="Z149">
    <cfRule type="expression" dxfId="1334" priority="105">
      <formula>$AA149=2</formula>
    </cfRule>
  </conditionalFormatting>
  <conditionalFormatting sqref="X137:Y137 H137:I137 Q137:R137">
    <cfRule type="expression" dxfId="1333" priority="102">
      <formula>$AC137=2</formula>
    </cfRule>
  </conditionalFormatting>
  <conditionalFormatting sqref="Q137:R137">
    <cfRule type="expression" dxfId="1332" priority="95">
      <formula>$AE137=4</formula>
    </cfRule>
    <cfRule type="expression" dxfId="1331" priority="96">
      <formula>$AE137=3</formula>
    </cfRule>
    <cfRule type="expression" dxfId="1330" priority="97">
      <formula>$AE137=2</formula>
    </cfRule>
    <cfRule type="expression" dxfId="1329" priority="98">
      <formula>$AE137=1</formula>
    </cfRule>
  </conditionalFormatting>
  <conditionalFormatting sqref="X137:Y137">
    <cfRule type="expression" dxfId="1328" priority="91">
      <formula>$AF137=4</formula>
    </cfRule>
    <cfRule type="expression" dxfId="1327" priority="92">
      <formula>$AF137=3</formula>
    </cfRule>
    <cfRule type="expression" dxfId="1326" priority="93">
      <formula>$AF137=2</formula>
    </cfRule>
    <cfRule type="expression" dxfId="1325" priority="94">
      <formula>$AF137=1</formula>
    </cfRule>
  </conditionalFormatting>
  <conditionalFormatting sqref="J137:K137">
    <cfRule type="expression" dxfId="1324" priority="85">
      <formula>$AD137=4</formula>
    </cfRule>
    <cfRule type="expression" dxfId="1323" priority="86">
      <formula>$AD137=3</formula>
    </cfRule>
    <cfRule type="expression" dxfId="1322" priority="87">
      <formula>$AD137=2</formula>
    </cfRule>
    <cfRule type="expression" dxfId="1321" priority="88">
      <formula>$AD137=1</formula>
    </cfRule>
  </conditionalFormatting>
  <conditionalFormatting sqref="J137:K137">
    <cfRule type="expression" dxfId="1320" priority="84">
      <formula>$AC137=2</formula>
    </cfRule>
  </conditionalFormatting>
  <conditionalFormatting sqref="L137">
    <cfRule type="expression" dxfId="1319" priority="83">
      <formula>$AC137=2</formula>
    </cfRule>
  </conditionalFormatting>
  <conditionalFormatting sqref="O137">
    <cfRule type="expression" dxfId="1318" priority="82">
      <formula>$AC137=2</formula>
    </cfRule>
  </conditionalFormatting>
  <conditionalFormatting sqref="V137">
    <cfRule type="expression" dxfId="1317" priority="81">
      <formula>$AC137=2</formula>
    </cfRule>
  </conditionalFormatting>
  <conditionalFormatting sqref="G137">
    <cfRule type="expression" dxfId="1316" priority="80">
      <formula>$AC137=2</formula>
    </cfRule>
  </conditionalFormatting>
  <conditionalFormatting sqref="G137">
    <cfRule type="expression" dxfId="1315" priority="79">
      <formula>G137&gt;F137</formula>
    </cfRule>
  </conditionalFormatting>
  <conditionalFormatting sqref="N137">
    <cfRule type="expression" dxfId="1314" priority="78">
      <formula>$AC137=2</formula>
    </cfRule>
  </conditionalFormatting>
  <conditionalFormatting sqref="N137">
    <cfRule type="expression" dxfId="1313" priority="77">
      <formula>N137&gt;F137</formula>
    </cfRule>
  </conditionalFormatting>
  <conditionalFormatting sqref="U137">
    <cfRule type="expression" dxfId="1312" priority="74">
      <formula>$AC137=2</formula>
    </cfRule>
  </conditionalFormatting>
  <conditionalFormatting sqref="U137">
    <cfRule type="expression" dxfId="1311" priority="73">
      <formula>U137&gt;F137</formula>
    </cfRule>
  </conditionalFormatting>
  <conditionalFormatting sqref="H137">
    <cfRule type="expression" dxfId="1310" priority="70">
      <formula>F137=0</formula>
    </cfRule>
  </conditionalFormatting>
  <conditionalFormatting sqref="I137">
    <cfRule type="expression" dxfId="1309" priority="69">
      <formula>F137=0</formula>
    </cfRule>
  </conditionalFormatting>
  <conditionalFormatting sqref="O137">
    <cfRule type="expression" dxfId="1308" priority="100">
      <formula>F137=0</formula>
    </cfRule>
  </conditionalFormatting>
  <conditionalFormatting sqref="V137">
    <cfRule type="expression" dxfId="1307" priority="99">
      <formula>F137=0</formula>
    </cfRule>
  </conditionalFormatting>
  <conditionalFormatting sqref="S137">
    <cfRule type="expression" dxfId="1306" priority="68">
      <formula>$AA137=2</formula>
    </cfRule>
  </conditionalFormatting>
  <conditionalFormatting sqref="Z137">
    <cfRule type="expression" dxfId="1305" priority="67">
      <formula>$AA137=2</formula>
    </cfRule>
  </conditionalFormatting>
  <conditionalFormatting sqref="G150">
    <cfRule type="expression" dxfId="1304" priority="64">
      <formula>$AC150=2</formula>
    </cfRule>
  </conditionalFormatting>
  <conditionalFormatting sqref="G150">
    <cfRule type="expression" dxfId="1303" priority="63">
      <formula>G150&gt;F150</formula>
    </cfRule>
  </conditionalFormatting>
  <conditionalFormatting sqref="N150">
    <cfRule type="expression" dxfId="1302" priority="62">
      <formula>$AC150=2</formula>
    </cfRule>
  </conditionalFormatting>
  <conditionalFormatting sqref="N150">
    <cfRule type="expression" dxfId="1301" priority="61">
      <formula>N150&gt;F150</formula>
    </cfRule>
  </conditionalFormatting>
  <conditionalFormatting sqref="U150">
    <cfRule type="expression" dxfId="1300" priority="57">
      <formula>$AC150=2</formula>
    </cfRule>
  </conditionalFormatting>
  <conditionalFormatting sqref="U150">
    <cfRule type="expression" dxfId="1299" priority="56">
      <formula>U150&gt;F150</formula>
    </cfRule>
  </conditionalFormatting>
  <conditionalFormatting sqref="G149">
    <cfRule type="expression" dxfId="1298" priority="51">
      <formula>G149&gt;F149</formula>
    </cfRule>
  </conditionalFormatting>
  <conditionalFormatting sqref="G149">
    <cfRule type="expression" dxfId="1297" priority="52">
      <formula>$AC149=2</formula>
    </cfRule>
  </conditionalFormatting>
  <conditionalFormatting sqref="N149">
    <cfRule type="expression" dxfId="1296" priority="50">
      <formula>$AC149=2</formula>
    </cfRule>
  </conditionalFormatting>
  <conditionalFormatting sqref="N149">
    <cfRule type="expression" dxfId="1295" priority="49">
      <formula>N149&gt;F149</formula>
    </cfRule>
  </conditionalFormatting>
  <conditionalFormatting sqref="U149">
    <cfRule type="expression" dxfId="1294" priority="45">
      <formula>$AC149=2</formula>
    </cfRule>
  </conditionalFormatting>
  <conditionalFormatting sqref="U149">
    <cfRule type="expression" dxfId="1293" priority="44">
      <formula>U149&gt;F149</formula>
    </cfRule>
  </conditionalFormatting>
  <conditionalFormatting sqref="G106">
    <cfRule type="expression" dxfId="1292" priority="40">
      <formula>$AC106=2</formula>
    </cfRule>
  </conditionalFormatting>
  <conditionalFormatting sqref="G106">
    <cfRule type="expression" dxfId="1291" priority="39">
      <formula>G106&gt;F106</formula>
    </cfRule>
  </conditionalFormatting>
  <conditionalFormatting sqref="N106">
    <cfRule type="expression" dxfId="1290" priority="38">
      <formula>$AC106=2</formula>
    </cfRule>
  </conditionalFormatting>
  <conditionalFormatting sqref="N106">
    <cfRule type="expression" dxfId="1289" priority="37">
      <formula>N106&gt;F106</formula>
    </cfRule>
  </conditionalFormatting>
  <conditionalFormatting sqref="U106">
    <cfRule type="expression" dxfId="1288" priority="33">
      <formula>$AC106=2</formula>
    </cfRule>
  </conditionalFormatting>
  <conditionalFormatting sqref="U106">
    <cfRule type="expression" dxfId="1287" priority="32">
      <formula>U106&gt;F106</formula>
    </cfRule>
  </conditionalFormatting>
  <conditionalFormatting sqref="N105">
    <cfRule type="expression" dxfId="1286" priority="28">
      <formula>$AC105=2</formula>
    </cfRule>
  </conditionalFormatting>
  <conditionalFormatting sqref="N105">
    <cfRule type="expression" dxfId="1285" priority="27">
      <formula>N105&gt;F105</formula>
    </cfRule>
  </conditionalFormatting>
  <conditionalFormatting sqref="U105">
    <cfRule type="expression" dxfId="1284" priority="23">
      <formula>$AC105=2</formula>
    </cfRule>
  </conditionalFormatting>
  <conditionalFormatting sqref="U105">
    <cfRule type="expression" dxfId="1283" priority="22">
      <formula>U105&gt;F105</formula>
    </cfRule>
  </conditionalFormatting>
  <conditionalFormatting sqref="G105">
    <cfRule type="expression" dxfId="1282" priority="17">
      <formula>G105&gt;F105</formula>
    </cfRule>
  </conditionalFormatting>
  <conditionalFormatting sqref="G105">
    <cfRule type="expression" dxfId="1281" priority="18">
      <formula>$AC105=2</formula>
    </cfRule>
  </conditionalFormatting>
  <conditionalFormatting sqref="V35">
    <cfRule type="expression" dxfId="1280" priority="16">
      <formula>$AC35=2</formula>
    </cfRule>
  </conditionalFormatting>
  <dataValidations count="21">
    <dataValidation type="decimal" operator="lessThanOrEqual" allowBlank="1" showInputMessage="1" showErrorMessage="1" errorTitle="Invalid entry" error="Cannot award more credits than available" sqref="G142:G144 G189:G191 G212:G225 G57 G128:G129 G155 U154:U159 G110:G112 U41:U46 G157 G91 G108 N57:N62 G204:G205 N154:N159 G32:G34 G28:G30 G172:G173 G114 G120:G121 G124:G125 G12:G16 G18:G19 U198:U208 U100 U57:U62 G41:G45 G138:G140 G201:G202 U212:U225 G59:G60 N189:N191 G62 U166 G74:G76 U138:U144 G78:G79 G186 G81:G82 G183 G180:G181 G88:G89 G21:G26 G96:G97 G100 G168:G169 U11:U34 G159 U71:U91 G149 N107:N114 U189:U191 G207:G208 N212:N225 G132:G135 G105 N41:N46 N48:N55 N118 N120:N122 N124:N126 N128:N130 G164 N168:N174 G176 N180:N184 N186:N187 U48:U55 U118 U120:U122 U124:U126 U128:U130 N166 U168:U174 N178 U180:U184 U186:U187 N138:N144 G151:G152 G198:G199 N198:N208 N195:N196 G196 U195:U196 N100 N11:N34 G84:G86 U95:U98 N95:N98 N38 U38 N151:N152 U151:U152 N163:N164 U163:U164 G67:G69 N66:N69 U66:U69 U104:U105 N104:N105 U148:U149 N148:N149 N132:N136 U132:U136 U107:U114 G71:G72 N71:N91 N176 U176 U178 G48:G54" xr:uid="{761C2899-C41E-4CB4-9A6A-B730042C503A}">
      <formula1>$F11</formula1>
    </dataValidation>
    <dataValidation allowBlank="1" showInputMessage="1" showErrorMessage="1" promptTitle="Sorting" prompt="Sort from smallest to largest to get original sorting" sqref="A9" xr:uid="{0AF35F10-022A-4DA7-B62D-1B00842C3916}"/>
    <dataValidation type="list" allowBlank="1" showInputMessage="1" showErrorMessage="1" sqref="S8 Z8" xr:uid="{0CA5FD98-0E0E-42DB-B3A9-D3359F8533E7}">
      <formula1>AD_YesNo</formula1>
    </dataValidation>
    <dataValidation type="list" allowBlank="1" showInputMessage="1" showErrorMessage="1" sqref="N255:P255 G255 U255:W255 G245 N245:P245 U245:W245 G248 N248:P248 U248:W248 G251:G252 N251:P252 U251:W252 N257:P258 G257:G258 U257:W258 G47 G56 G119 G123 G127 G131 G167 G175 G179 G185 G188 G197 G99 G39:G40 G153 G165 G70 G150 G137 G106" xr:uid="{22BE7E90-5ABF-4D8B-B9E1-13B9FBF50DD2}">
      <formula1>janei</formula1>
    </dataValidation>
    <dataValidation type="list" operator="lessThanOrEqual" allowBlank="1" showInputMessage="1" showErrorMessage="1" errorTitle="Invalid entry" error="Cannot award more credits than available" sqref="N256:P256 G256 U256:W256 N47 U47 N56 N119 N123 N127 N131 N167 N175 N179 N185 N188 U56 U119 U123 U127 U131 U167 U175 U179 U185 U188 N197 U197 N99 U99 N39:N40 U39:U40 N153 U153 N165 U165 N70 U70 U150 N106 U137 N150 N137 U106" xr:uid="{03ABA2CF-6716-4939-93B7-97B7AC87BF40}">
      <formula1>janei</formula1>
    </dataValidation>
    <dataValidation type="list" allowBlank="1" showInputMessage="1" showErrorMessage="1" sqref="K212:K225 Y212:Y225 R251:R252 Y254:Y259 K245:K248 Y245:Y248 R245:R248 R195:R208 K254:K259 R254:R259 Y38:Y62 R38:R62 K38:K62 R11:R34 Y163:Y191 K104:K114 K163:K191 R212:R225 K236 K251:K252 Y236 Y251:Y252 R236 R148:R159 Y195:Y208 K195:K208 K11:K34 K95:K100 Y95:Y100 R95:R100 Y11:Y34 R104:R114 R163:R191 Y104:Y114 Y148:Y159 K148:K159 Y118:Y144 K118:K144 R118:R144 R66:R91 K66:K91 Y66:Y91" xr:uid="{A2F8AE69-7927-4C5A-8BCD-FCA4D7548729}">
      <formula1>status</formula1>
    </dataValidation>
    <dataValidation type="list" allowBlank="1" showInputMessage="1" showErrorMessage="1" sqref="AB11" xr:uid="{52119410-4940-4560-ACF3-B4D36F22FF1C}">
      <formula1>$AS$11:$AT$11</formula1>
    </dataValidation>
    <dataValidation type="list" allowBlank="1" showInputMessage="1" showErrorMessage="1" sqref="AB17:AB19" xr:uid="{EE6BF5E8-7CDB-4807-9B0A-F8ECE29CA962}">
      <formula1>AS11:AT11</formula1>
    </dataValidation>
    <dataValidation type="list" allowBlank="1" showInputMessage="1" showErrorMessage="1" sqref="AB200:AB208 AB107:AB108 AB77:AB82 AB51:AB54 AB90:AB91 AB27 AB141 AB247 AB130:AB137" xr:uid="{6CEC8711-2A98-4F32-9055-E18FEC2DBB6A}">
      <formula1>AR27:AU27</formula1>
    </dataValidation>
    <dataValidation type="list" allowBlank="1" showInputMessage="1" showErrorMessage="1" sqref="AB245 AB66 AB104:AB106 AB248 AB31 AB251:AB252 AB83:AB86" xr:uid="{781EC385-077F-49C8-9AA8-44D1278D625B}">
      <formula1>AR31:AT31</formula1>
    </dataValidation>
    <dataValidation type="list" allowBlank="1" showInputMessage="1" showErrorMessage="1" sqref="AB55:AB57" xr:uid="{24651123-2858-4D11-B9BA-955F1121EF2A}">
      <formula1>$AS$55:$AT$55</formula1>
    </dataValidation>
    <dataValidation type="list" allowBlank="1" showInputMessage="1" showErrorMessage="1" sqref="AB73:AB76" xr:uid="{A2447A68-0EFE-49DE-834D-86A022CED83E}">
      <formula1>$AR$73:$AW$73</formula1>
    </dataValidation>
    <dataValidation type="list" allowBlank="1" showInputMessage="1" showErrorMessage="1" sqref="AB154:AB157" xr:uid="{800C288F-3080-484D-99C3-EF245027D370}">
      <formula1>$AS$154:$AT$154</formula1>
    </dataValidation>
    <dataValidation type="list" allowBlank="1" showInputMessage="1" showErrorMessage="1" sqref="AB158:AB159" xr:uid="{BAE0647B-0B37-4579-8D07-391CC7B6D095}">
      <formula1>$AS$158:$AT$158</formula1>
    </dataValidation>
    <dataValidation type="list" allowBlank="1" showInputMessage="1" showErrorMessage="1" sqref="AB38:AB45" xr:uid="{E93D53CD-31D4-4658-BC71-1787C1CBD43D}">
      <formula1>$AR$38:$AX$38</formula1>
    </dataValidation>
    <dataValidation type="list" allowBlank="1" showInputMessage="1" showErrorMessage="1" sqref="AB195:AB199" xr:uid="{1AA37297-542F-4309-94D1-2CB265735AAC}">
      <formula1>$AR$195:$AV$195</formula1>
    </dataValidation>
    <dataValidation type="list" allowBlank="1" showInputMessage="1" showErrorMessage="1" sqref="AB109:AB112" xr:uid="{3D41E413-A485-4435-9342-64D253BE2FD0}">
      <formula1>$AR$109:$AV$109</formula1>
    </dataValidation>
    <dataValidation type="list" allowBlank="1" showInputMessage="1" showErrorMessage="1" sqref="AB46" xr:uid="{71C997F3-54DC-4893-9440-A6D7528EC886}">
      <formula1>$AR$46:$AW$46</formula1>
    </dataValidation>
    <dataValidation type="list" allowBlank="1" showInputMessage="1" showErrorMessage="1" sqref="AB236 AB87:AB89 AB113:AB114 AB58:AB62 AB148:AB149 AB212:AB225 AB95 AB246 AB20 AB118:AB120 AB122 AB126 AB254:AB259 AB98:AB100 AB163:AB191" xr:uid="{E35FFF80-45ED-44D3-B8FE-6FE6E5F3155D}">
      <formula1>AIS_NA</formula1>
    </dataValidation>
    <dataValidation type="custom" operator="equal" allowBlank="1" showInputMessage="1" showErrorMessage="1" errorTitle="Invalid entry" error="Only 0 or 3 credits can be awarded" sqref="G177" xr:uid="{F24105B0-2548-4C53-8D6F-A86FEAB87B12}">
      <formula1>OR(G177=0,G177=3)</formula1>
    </dataValidation>
    <dataValidation type="custom" operator="lessThanOrEqual" allowBlank="1" showInputMessage="1" showErrorMessage="1" errorTitle="Invalid entry" error="Only 0 or 3 credits can be awarded" sqref="U177 N177" xr:uid="{EF8BFBDC-1986-4701-BCEA-8CCEA2541DD1}">
      <formula1>OR(N177=0,N177=3)</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V18:W34 H227:T335 V17:W17 AA17:BE17 O17:P17 O18:P18 T17:T18 V172:W195 V52:W52 AA52:BE52 O125:P125 T125 V138:W148 V53:W66 F70 V114:W119 O126:P136 E105:F105 F107:F113 AA150:BE152 E149:F149 F151:F152 V72:W95 V105:W105 V149:W149 O42:P69 O138:P149 H43:I46 H138:I149 C150 V42:W51 W35 V36:W39 O19:P38 H17:I38 O39:P39 T39 O41:P41 T41 C41 H151:I152 O226:T226 V151:W152 H108:I121 O107:P121 V107:W113 H123:I136 O123:P124 V123:W136 H39:I39 M39 H72:I72 H47:I47 M47 H74:I105 H73:I73 M73 H107:I107 M107 O72:P105 O70:P70 T70 H226:M226 H153:I153 M153 H41:I42 M41:M42 H154:I170 O151:P170 V153:W163 O71:P71 H48:I71 V70:W71 AA71:BE71 V226:BE335 V196:W196 V165:W170 V164:W164 V121:W121 V120:W120 V97:W104 V96:W96 V68:W69 V67:W67 V41:W41 AA18:BE34 AA172:BE195 AA138:BE148 AA53:BE66 AA114:BE119 AA106:BE113 AA72:BE95 AA42:BE51 AA35:BE35 AA36:BE39 AA123:BE136 AA122:BE122 AA153:BE163 V225:Y225 AA197:BE225 AA196:BE196 AA165:BE170 AA164:BE164 AA121:BE121 AA120:BE120 AA97:BE104 AA96:BE96 AA68:BE69 AA67:BE67 AA41:BE41 T126:T136 T42:T69 T138:T149 T19:T38 O172:P225 T172:T225 T150 T107:T121 T106 T123:T124 T122 T72:T105 T151:T170 T71 R221:R225 M43:M46 M138:M149 M17:M38 M151:M152 M150 M108:M121 M106 M123:M136 M122 M72 M74:M105 H172:I225 M172:M225 M154:M170 M48:M71 K225 V197:W224"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17" id="{26E8AFB8-EB8E-4549-91E2-6F0B5A9F2377}">
            <xm:f>$S$8='Assessment Details'!$Q$23</xm:f>
            <x14:dxf>
              <font>
                <color theme="0"/>
              </font>
              <fill>
                <patternFill>
                  <bgColor theme="0"/>
                </patternFill>
              </fill>
              <border>
                <left/>
                <right/>
                <top/>
                <bottom/>
                <vertical/>
                <horizontal/>
              </border>
            </x14:dxf>
          </x14:cfRule>
          <xm:sqref>N107:S136 N138:S148 O150:S150 O106:S106 N151:S226 N9:S104</xm:sqref>
        </x14:conditionalFormatting>
        <x14:conditionalFormatting xmlns:xm="http://schemas.microsoft.com/office/excel/2006/main">
          <x14:cfRule type="expression" priority="4553" id="{F07B10D0-2688-4D2D-9352-51F0145E8B48}">
            <xm:f>$S$8='Assessment Details'!$Q$23</xm:f>
            <x14:dxf>
              <border>
                <left style="thin">
                  <color theme="0"/>
                </left>
                <right style="thin">
                  <color theme="0"/>
                </right>
                <top style="thin">
                  <color theme="0"/>
                </top>
                <bottom style="thin">
                  <color theme="0"/>
                </bottom>
                <vertical/>
                <horizontal/>
              </border>
            </x14:dxf>
          </x14:cfRule>
          <xm:sqref>N146:O147 N193:O194 N226 N9:S10 N36:O37 N18:N19 N102:O103 N254:S259 N35 N64:O65 N93:O94 N116:O117 N161:O162 N210:O211 N212:N220 N63 N92 N101 N115 N145 N160 N192 N209 Q172:R173 Q41:R45 Q47:R50 Q52:R54 Q56:R57 Q59:R60 Q62:R62 Q74:R76 Q78:R79 Q81:R82 N86 Q88:R89 Q91:R91 Q96:R97 Q100:R100 Q106:R106 Q108:R108 Q110:R112 Q114:R114 Q119:R121 Q123:R125 Q127:R129 Q138:R140 Q142:R144 Q150:R152 Q155:R155 Q157:R157 Q159:R159 Q164:R164 Q167:R169 Q175:R177 Q179:R181 Q183:R183 Q185:R186 Q188:R191 Q196:R196 Q201:R202 Q204:R205 Q207:R208 Q131:R135 Q198:R199 Q84:R86 S214:S225 Q161:R162 Q116:R117 Q93:R94 Q64:R65 Q102:R103 Q11:R37 Q193:R194 Q146:R147 Q210:R225 Q236:S236 N245:S246 N251:S252 N248:S248 Q226:S226 R165 Q67:R72 N67:N72</xm:sqref>
        </x14:conditionalFormatting>
        <x14:conditionalFormatting xmlns:xm="http://schemas.microsoft.com/office/excel/2006/main">
          <x14:cfRule type="expression" priority="204" id="{1B653B29-3D42-40C1-932B-B69CCB31110E}">
            <xm:f>$Z$8='Assessment Details'!$Q$23</xm:f>
            <x14:dxf>
              <font>
                <color theme="0"/>
              </font>
              <fill>
                <patternFill>
                  <bgColor theme="0"/>
                </patternFill>
              </fill>
              <border>
                <left/>
                <right/>
                <top/>
                <bottom/>
              </border>
            </x14:dxf>
          </x14:cfRule>
          <xm:sqref>V70:Z70 U107:Z136 U138:Z148 V150:Z150 V106:Z106 U9:Z69 U151:Z226 U71:Z104</xm:sqref>
        </x14:conditionalFormatting>
        <x14:conditionalFormatting xmlns:xm="http://schemas.microsoft.com/office/excel/2006/main">
          <x14:cfRule type="expression" priority="4551" id="{EF72BBD8-21BF-47F9-A216-8FDC90D5599B}">
            <xm:f>$Z$8='Assessment Details'!$Q$23</xm:f>
            <x14:dxf>
              <border>
                <left style="thin">
                  <color theme="0"/>
                </left>
                <right style="thin">
                  <color theme="0"/>
                </right>
                <top style="thin">
                  <color theme="0"/>
                </top>
                <bottom style="thin">
                  <color theme="0"/>
                </bottom>
                <vertical/>
                <horizontal/>
              </border>
            </x14:dxf>
          </x14:cfRule>
          <xm:sqref>U146:V147 U193:V194 Z226 U9:Z10 X17:Y20 X251:Y251 X27:Y27 U36:V37 X11:Y11 X31:Y31 U102:V103 U256:Y256 U35 U64:V65 U93:V94 U116:V117 U161:V162 U210:V211 U212:U220 X172:Y173 X86:Y86 U86 X209:Y226 X160:Y162 X115:Y117 X92:Y94 X63:Y65 X101:Y103 X35:Y37 X192:Y194 X145:Y147 X67:Y72</xm:sqref>
        </x14:conditionalFormatting>
        <x14:conditionalFormatting xmlns:xm="http://schemas.microsoft.com/office/excel/2006/main">
          <x14:cfRule type="expression" priority="4480" id="{3B48386A-6E88-435D-96E3-7ECE48307FC5}">
            <xm:f>$Z$8='Assessment Details'!$Q$23</xm:f>
            <x14:dxf>
              <font>
                <color theme="0"/>
              </font>
              <fill>
                <patternFill>
                  <bgColor theme="0"/>
                </patternFill>
              </fill>
            </x14:dxf>
          </x14:cfRule>
          <xm:sqref>AB9 X67:Y72</xm:sqref>
        </x14:conditionalFormatting>
        <x14:conditionalFormatting xmlns:xm="http://schemas.microsoft.com/office/excel/2006/main">
          <x14:cfRule type="expression" priority="4479"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342" id="{EB55F4F4-1DD4-4294-9406-21C3CBEF7E73}">
            <xm:f>$S$8='Assessment Details'!$Q$23</xm:f>
            <x14:dxf>
              <font>
                <color theme="0"/>
              </font>
              <fill>
                <patternFill>
                  <bgColor theme="0"/>
                </patternFill>
              </fill>
              <border>
                <vertical/>
                <horizontal/>
              </border>
            </x14:dxf>
          </x14:cfRule>
          <xm:sqref>N221 N67:N72</xm:sqref>
        </x14:conditionalFormatting>
        <x14:conditionalFormatting xmlns:xm="http://schemas.microsoft.com/office/excel/2006/main">
          <x14:cfRule type="expression" priority="4341" id="{F53F118C-8F6E-4BA5-BF71-8B5D02386E74}">
            <xm:f>$S$8='Assessment Details'!$Q$23</xm:f>
            <x14:dxf>
              <border>
                <left style="thin">
                  <color theme="0"/>
                </left>
                <right style="thin">
                  <color theme="0"/>
                </right>
                <top style="thin">
                  <color theme="0"/>
                </top>
                <bottom style="thin">
                  <color theme="0"/>
                </bottom>
                <vertical/>
                <horizontal/>
              </border>
            </x14:dxf>
          </x14:cfRule>
          <xm:sqref>N221</xm:sqref>
        </x14:conditionalFormatting>
        <x14:conditionalFormatting xmlns:xm="http://schemas.microsoft.com/office/excel/2006/main">
          <x14:cfRule type="expression" priority="4340" id="{AF28C966-0E6E-4749-BB73-48B9A7BC2ACE}">
            <xm:f>$Z$8='Assessment Details'!$Q$23</xm:f>
            <x14:dxf>
              <font>
                <color theme="0"/>
              </font>
              <fill>
                <patternFill>
                  <bgColor theme="0"/>
                </patternFill>
              </fill>
            </x14:dxf>
          </x14:cfRule>
          <xm:sqref>U221</xm:sqref>
        </x14:conditionalFormatting>
        <x14:conditionalFormatting xmlns:xm="http://schemas.microsoft.com/office/excel/2006/main">
          <x14:cfRule type="expression" priority="4339" id="{C4A652AD-542D-4A51-8B0A-38440CC32874}">
            <xm:f>$Z$8='Assessment Details'!$Q$23</xm:f>
            <x14:dxf>
              <border>
                <left style="thin">
                  <color theme="0"/>
                </left>
                <right style="thin">
                  <color theme="0"/>
                </right>
                <top style="thin">
                  <color theme="0"/>
                </top>
                <bottom style="thin">
                  <color theme="0"/>
                </bottom>
                <vertical/>
                <horizontal/>
              </border>
            </x14:dxf>
          </x14:cfRule>
          <xm:sqref>U221</xm:sqref>
        </x14:conditionalFormatting>
        <x14:conditionalFormatting xmlns:xm="http://schemas.microsoft.com/office/excel/2006/main">
          <x14:cfRule type="expression" priority="4322" id="{C6F0C1E9-58BE-4F8C-8B3F-826B41B00157}">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321" id="{3C90B44D-5A49-480C-AAEF-2497645946C8}">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320" id="{5F40EE38-1188-4DBF-AAA8-FD83D80F7088}">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319" id="{BD2D5A2E-1C75-476A-B6A3-98481EF96DC5}">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302" id="{46247BBD-A873-4922-8750-3D09E8184D0D}">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4301" id="{37C47E48-8E86-4D2F-AF4E-5484360E7AD9}">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4300" id="{02418F47-1C4E-4E82-902A-C7E9C07A07DC}">
            <xm:f>$Z$8='Assessment Details'!$Q$23</xm:f>
            <x14:dxf>
              <font>
                <color theme="0"/>
              </font>
              <fill>
                <patternFill>
                  <bgColor theme="0"/>
                </patternFill>
              </fill>
            </x14:dxf>
          </x14:cfRule>
          <xm:sqref>U223</xm:sqref>
        </x14:conditionalFormatting>
        <x14:conditionalFormatting xmlns:xm="http://schemas.microsoft.com/office/excel/2006/main">
          <x14:cfRule type="expression" priority="4299" id="{1C3DBDD0-C41F-468D-843F-A3B47D9BCC0F}">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4282" id="{CD4EB85A-D7F1-43AC-8452-720AB857931A}">
            <xm:f>$S$8='Assessment Details'!$Q$23</xm:f>
            <x14:dxf>
              <font>
                <color theme="0"/>
              </font>
              <fill>
                <patternFill>
                  <bgColor theme="0"/>
                </patternFill>
              </fill>
              <border>
                <vertical/>
                <horizontal/>
              </border>
            </x14:dxf>
          </x14:cfRule>
          <xm:sqref>N224</xm:sqref>
        </x14:conditionalFormatting>
        <x14:conditionalFormatting xmlns:xm="http://schemas.microsoft.com/office/excel/2006/main">
          <x14:cfRule type="expression" priority="4281" id="{3DC3B8C6-7B5E-4404-976C-3A3832AD9D64}">
            <xm:f>$S$8='Assessment Details'!$Q$23</xm:f>
            <x14:dxf>
              <border>
                <left style="thin">
                  <color theme="0"/>
                </left>
                <right style="thin">
                  <color theme="0"/>
                </right>
                <top style="thin">
                  <color theme="0"/>
                </top>
                <bottom style="thin">
                  <color theme="0"/>
                </bottom>
                <vertical/>
                <horizontal/>
              </border>
            </x14:dxf>
          </x14:cfRule>
          <xm:sqref>N224</xm:sqref>
        </x14:conditionalFormatting>
        <x14:conditionalFormatting xmlns:xm="http://schemas.microsoft.com/office/excel/2006/main">
          <x14:cfRule type="expression" priority="4280" id="{BC251D69-11C2-4540-8D77-657BD1491065}">
            <xm:f>$Z$8='Assessment Details'!$Q$23</xm:f>
            <x14:dxf>
              <font>
                <color theme="0"/>
              </font>
              <fill>
                <patternFill>
                  <bgColor theme="0"/>
                </patternFill>
              </fill>
            </x14:dxf>
          </x14:cfRule>
          <xm:sqref>U224</xm:sqref>
        </x14:conditionalFormatting>
        <x14:conditionalFormatting xmlns:xm="http://schemas.microsoft.com/office/excel/2006/main">
          <x14:cfRule type="expression" priority="4279" id="{091DEED1-E318-4562-ACE6-E415E5633351}">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4260" id="{2B1EC8D9-8898-47AD-9A7F-C907B78FA3E3}">
            <xm:f>$Z$8='Assessment Details'!$Q$23</xm:f>
            <x14:dxf>
              <font>
                <color theme="0"/>
              </font>
              <fill>
                <patternFill>
                  <bgColor theme="0"/>
                </patternFill>
              </fill>
            </x14:dxf>
          </x14:cfRule>
          <xm:sqref>U255:Y255</xm:sqref>
        </x14:conditionalFormatting>
        <x14:conditionalFormatting xmlns:xm="http://schemas.microsoft.com/office/excel/2006/main">
          <x14:cfRule type="expression" priority="4259" id="{16217C15-98ED-40E1-9D3C-D8F9EAA14716}">
            <xm:f>$Z$8='Assessment Details'!$Q$23</xm:f>
            <x14:dxf>
              <border>
                <left style="thin">
                  <color theme="0"/>
                </left>
                <right style="thin">
                  <color theme="0"/>
                </right>
                <top style="thin">
                  <color theme="0"/>
                </top>
                <bottom style="thin">
                  <color theme="0"/>
                </bottom>
                <vertical/>
                <horizontal/>
              </border>
            </x14:dxf>
          </x14:cfRule>
          <xm:sqref>U255:Y255</xm:sqref>
        </x14:conditionalFormatting>
        <x14:conditionalFormatting xmlns:xm="http://schemas.microsoft.com/office/excel/2006/main">
          <x14:cfRule type="expression" priority="4236" id="{003CF9C3-5882-4AE5-9825-DD5F562997CA}">
            <xm:f>$Z$8='Assessment Details'!$Q$23</xm:f>
            <x14:dxf>
              <font>
                <color theme="0"/>
              </font>
              <fill>
                <patternFill>
                  <bgColor theme="0"/>
                </patternFill>
              </fill>
            </x14:dxf>
          </x14:cfRule>
          <xm:sqref>X236:Y236</xm:sqref>
        </x14:conditionalFormatting>
        <x14:conditionalFormatting xmlns:xm="http://schemas.microsoft.com/office/excel/2006/main">
          <x14:cfRule type="expression" priority="4235" id="{506DB9F6-CF47-4A3E-8BDC-0CF6F0FB1801}">
            <xm:f>$Z$8='Assessment Details'!$Q$23</xm:f>
            <x14:dxf>
              <border>
                <left style="thin">
                  <color theme="0"/>
                </left>
                <right style="thin">
                  <color theme="0"/>
                </right>
                <top style="thin">
                  <color theme="0"/>
                </top>
                <bottom style="thin">
                  <color theme="0"/>
                </bottom>
                <vertical/>
                <horizontal/>
              </border>
            </x14:dxf>
          </x14:cfRule>
          <xm:sqref>X236:Y236</xm:sqref>
        </x14:conditionalFormatting>
        <x14:conditionalFormatting xmlns:xm="http://schemas.microsoft.com/office/excel/2006/main">
          <x14:cfRule type="expression" priority="4230" id="{65CE01A1-5605-4EA8-9C68-7A192DC9BB8C}">
            <xm:f>$S$8='Assessment Details'!$Q$23</xm:f>
            <x14:dxf>
              <font>
                <color theme="0"/>
              </font>
              <fill>
                <patternFill>
                  <bgColor theme="0"/>
                </patternFill>
              </fill>
              <border>
                <vertical/>
                <horizontal/>
              </border>
            </x14:dxf>
          </x14:cfRule>
          <xm:sqref>N236:P236</xm:sqref>
        </x14:conditionalFormatting>
        <x14:conditionalFormatting xmlns:xm="http://schemas.microsoft.com/office/excel/2006/main">
          <x14:cfRule type="expression" priority="4229" id="{1E118A00-84A7-423B-BFC9-B87735183CA0}">
            <xm:f>$S$8='Assessment Details'!$Q$23</xm:f>
            <x14:dxf>
              <border>
                <left style="thin">
                  <color theme="0"/>
                </left>
                <right style="thin">
                  <color theme="0"/>
                </right>
                <top style="thin">
                  <color theme="0"/>
                </top>
                <bottom style="thin">
                  <color theme="0"/>
                </bottom>
                <vertical/>
                <horizontal/>
              </border>
            </x14:dxf>
          </x14:cfRule>
          <xm:sqref>N236:P236</xm:sqref>
        </x14:conditionalFormatting>
        <x14:conditionalFormatting xmlns:xm="http://schemas.microsoft.com/office/excel/2006/main">
          <x14:cfRule type="expression" priority="4226" id="{E03EFE18-FBBD-40FC-BDF3-34AF33D8729A}">
            <xm:f>$S$8='Assessment Details'!$Q$23</xm:f>
            <x14:dxf>
              <font>
                <color theme="0"/>
              </font>
              <fill>
                <patternFill>
                  <bgColor theme="0"/>
                </patternFill>
              </fill>
              <border>
                <vertical/>
                <horizontal/>
              </border>
            </x14:dxf>
          </x14:cfRule>
          <xm:sqref>U236:W236</xm:sqref>
        </x14:conditionalFormatting>
        <x14:conditionalFormatting xmlns:xm="http://schemas.microsoft.com/office/excel/2006/main">
          <x14:cfRule type="expression" priority="4225" id="{1B409915-313F-482D-9590-169533B82CE8}">
            <xm:f>$S$8='Assessment Details'!$Q$23</xm:f>
            <x14:dxf>
              <border>
                <left style="thin">
                  <color theme="0"/>
                </left>
                <right style="thin">
                  <color theme="0"/>
                </right>
                <top style="thin">
                  <color theme="0"/>
                </top>
                <bottom style="thin">
                  <color theme="0"/>
                </bottom>
                <vertical/>
                <horizontal/>
              </border>
            </x14:dxf>
          </x14:cfRule>
          <xm:sqref>U236:W236</xm:sqref>
        </x14:conditionalFormatting>
        <x14:conditionalFormatting xmlns:xm="http://schemas.microsoft.com/office/excel/2006/main">
          <x14:cfRule type="expression" priority="4205" id="{C23D9E8F-AD36-4F36-8873-6C2B93A98BF5}">
            <xm:f>$Z$8='Assessment Details'!$Q$23</xm:f>
            <x14:dxf>
              <font>
                <color theme="0"/>
              </font>
              <fill>
                <patternFill>
                  <bgColor theme="0"/>
                </patternFill>
              </fill>
            </x14:dxf>
          </x14:cfRule>
          <xm:sqref>X245:Y245</xm:sqref>
        </x14:conditionalFormatting>
        <x14:conditionalFormatting xmlns:xm="http://schemas.microsoft.com/office/excel/2006/main">
          <x14:cfRule type="expression" priority="4204" id="{9F798C84-7CB0-48B5-8C29-E9F67D86CAF5}">
            <xm:f>$Z$8='Assessment Details'!$Q$23</xm:f>
            <x14:dxf>
              <border>
                <left style="thin">
                  <color theme="0"/>
                </left>
                <right style="thin">
                  <color theme="0"/>
                </right>
                <top style="thin">
                  <color theme="0"/>
                </top>
                <bottom style="thin">
                  <color theme="0"/>
                </bottom>
                <vertical/>
                <horizontal/>
              </border>
            </x14:dxf>
          </x14:cfRule>
          <xm:sqref>X245:Y245</xm:sqref>
        </x14:conditionalFormatting>
        <x14:conditionalFormatting xmlns:xm="http://schemas.microsoft.com/office/excel/2006/main">
          <x14:cfRule type="expression" priority="4179" id="{8584CAA5-EBD7-42B8-9D58-8DBF5321B526}">
            <xm:f>$Z$8='Assessment Details'!$Q$23</xm:f>
            <x14:dxf>
              <font>
                <color theme="0"/>
              </font>
              <fill>
                <patternFill>
                  <bgColor theme="0"/>
                </patternFill>
              </fill>
            </x14:dxf>
          </x14:cfRule>
          <xm:sqref>U245:W245</xm:sqref>
        </x14:conditionalFormatting>
        <x14:conditionalFormatting xmlns:xm="http://schemas.microsoft.com/office/excel/2006/main">
          <x14:cfRule type="expression" priority="4178" id="{36D9EACB-D66B-4BD5-96E8-8BAC3D7006C4}">
            <xm:f>$Z$8='Assessment Details'!$Q$23</xm:f>
            <x14:dxf>
              <border>
                <left style="thin">
                  <color theme="0"/>
                </left>
                <right style="thin">
                  <color theme="0"/>
                </right>
                <top style="thin">
                  <color theme="0"/>
                </top>
                <bottom style="thin">
                  <color theme="0"/>
                </bottom>
                <vertical/>
                <horizontal/>
              </border>
            </x14:dxf>
          </x14:cfRule>
          <xm:sqref>U245:W245</xm:sqref>
        </x14:conditionalFormatting>
        <x14:conditionalFormatting xmlns:xm="http://schemas.microsoft.com/office/excel/2006/main">
          <x14:cfRule type="expression" priority="4168" id="{BD68F092-7696-4BAF-B97A-D33E8A53C89A}">
            <xm:f>$Z$8='Assessment Details'!$Q$23</xm:f>
            <x14:dxf>
              <font>
                <color theme="0"/>
              </font>
              <fill>
                <patternFill>
                  <bgColor theme="0"/>
                </patternFill>
              </fill>
            </x14:dxf>
          </x14:cfRule>
          <xm:sqref>U251:W251</xm:sqref>
        </x14:conditionalFormatting>
        <x14:conditionalFormatting xmlns:xm="http://schemas.microsoft.com/office/excel/2006/main">
          <x14:cfRule type="expression" priority="4167" id="{E90D7E1E-28DA-47D4-AABC-E60720466AF9}">
            <xm:f>$Z$8='Assessment Details'!$Q$23</xm:f>
            <x14:dxf>
              <border>
                <left style="thin">
                  <color theme="0"/>
                </left>
                <right style="thin">
                  <color theme="0"/>
                </right>
                <top style="thin">
                  <color theme="0"/>
                </top>
                <bottom style="thin">
                  <color theme="0"/>
                </bottom>
                <vertical/>
                <horizontal/>
              </border>
            </x14:dxf>
          </x14:cfRule>
          <xm:sqref>U251:W251</xm:sqref>
        </x14:conditionalFormatting>
        <x14:conditionalFormatting xmlns:xm="http://schemas.microsoft.com/office/excel/2006/main">
          <x14:cfRule type="expression" priority="4149" id="{4B51EF7C-4C0C-4E96-BBDD-2D04B5CAC58C}">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4148" id="{F4CA5879-5898-4CE4-B06A-915C45E07AED}">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4129" id="{1863681A-C5A6-469C-9BF7-D98DE7D964C1}">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4128" id="{E733F3F7-9EE8-48C1-A76B-CE9B4A611C8F}">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4118" id="{DDEF0701-07C5-4E7E-8FD2-669EF36B4A6C}">
            <xm:f>$Z$8='Assessment Details'!$Q$23</xm:f>
            <x14:dxf>
              <font>
                <color theme="0"/>
              </font>
              <fill>
                <patternFill>
                  <bgColor theme="0"/>
                </patternFill>
              </fill>
            </x14:dxf>
          </x14:cfRule>
          <xm:sqref>X248:Y248</xm:sqref>
        </x14:conditionalFormatting>
        <x14:conditionalFormatting xmlns:xm="http://schemas.microsoft.com/office/excel/2006/main">
          <x14:cfRule type="expression" priority="4117" id="{6AA86BA3-135E-4FD5-AE20-0C1DD4832BF4}">
            <xm:f>$Z$8='Assessment Details'!$Q$23</xm:f>
            <x14:dxf>
              <border>
                <left style="thin">
                  <color theme="0"/>
                </left>
                <right style="thin">
                  <color theme="0"/>
                </right>
                <top style="thin">
                  <color theme="0"/>
                </top>
                <bottom style="thin">
                  <color theme="0"/>
                </bottom>
                <vertical/>
                <horizontal/>
              </border>
            </x14:dxf>
          </x14:cfRule>
          <xm:sqref>X248:Y248</xm:sqref>
        </x14:conditionalFormatting>
        <x14:conditionalFormatting xmlns:xm="http://schemas.microsoft.com/office/excel/2006/main">
          <x14:cfRule type="expression" priority="4103" id="{D7772031-3012-43A4-9FDA-021CF7E6AC75}">
            <xm:f>$Z$8='Assessment Details'!$Q$23</xm:f>
            <x14:dxf>
              <font>
                <color theme="0"/>
              </font>
              <fill>
                <patternFill>
                  <bgColor theme="0"/>
                </patternFill>
              </fill>
            </x14:dxf>
          </x14:cfRule>
          <xm:sqref>U248:W248</xm:sqref>
        </x14:conditionalFormatting>
        <x14:conditionalFormatting xmlns:xm="http://schemas.microsoft.com/office/excel/2006/main">
          <x14:cfRule type="expression" priority="4102" id="{284B85CE-0DE8-4D71-A1D7-56A9956F500E}">
            <xm:f>$Z$8='Assessment Details'!$Q$23</xm:f>
            <x14:dxf>
              <border>
                <left style="thin">
                  <color theme="0"/>
                </left>
                <right style="thin">
                  <color theme="0"/>
                </right>
                <top style="thin">
                  <color theme="0"/>
                </top>
                <bottom style="thin">
                  <color theme="0"/>
                </bottom>
                <vertical/>
                <horizontal/>
              </border>
            </x14:dxf>
          </x14:cfRule>
          <xm:sqref>U248:W248</xm:sqref>
        </x14:conditionalFormatting>
        <x14:conditionalFormatting xmlns:xm="http://schemas.microsoft.com/office/excel/2006/main">
          <x14:cfRule type="expression" priority="4092" id="{089B1A5E-D6F8-4926-BCCD-A2B7E5A02655}">
            <xm:f>$Z$8='Assessment Details'!$Q$23</xm:f>
            <x14:dxf>
              <font>
                <color theme="0"/>
              </font>
              <fill>
                <patternFill>
                  <bgColor theme="0"/>
                </patternFill>
              </fill>
            </x14:dxf>
          </x14:cfRule>
          <xm:sqref>X252:Y252</xm:sqref>
        </x14:conditionalFormatting>
        <x14:conditionalFormatting xmlns:xm="http://schemas.microsoft.com/office/excel/2006/main">
          <x14:cfRule type="expression" priority="4091" id="{2E73FD9D-0124-4E9A-BBF1-07A3CE176EEC}">
            <xm:f>$Z$8='Assessment Details'!$Q$23</xm:f>
            <x14:dxf>
              <border>
                <left style="thin">
                  <color theme="0"/>
                </left>
                <right style="thin">
                  <color theme="0"/>
                </right>
                <top style="thin">
                  <color theme="0"/>
                </top>
                <bottom style="thin">
                  <color theme="0"/>
                </bottom>
                <vertical/>
                <horizontal/>
              </border>
            </x14:dxf>
          </x14:cfRule>
          <xm:sqref>X252:Y252</xm:sqref>
        </x14:conditionalFormatting>
        <x14:conditionalFormatting xmlns:xm="http://schemas.microsoft.com/office/excel/2006/main">
          <x14:cfRule type="expression" priority="4077" id="{3E1A5667-438E-4E2D-A819-A6E789848E50}">
            <xm:f>$Z$8='Assessment Details'!$Q$23</xm:f>
            <x14:dxf>
              <font>
                <color theme="0"/>
              </font>
              <fill>
                <patternFill>
                  <bgColor theme="0"/>
                </patternFill>
              </fill>
            </x14:dxf>
          </x14:cfRule>
          <xm:sqref>U252:W252</xm:sqref>
        </x14:conditionalFormatting>
        <x14:conditionalFormatting xmlns:xm="http://schemas.microsoft.com/office/excel/2006/main">
          <x14:cfRule type="expression" priority="4076" id="{548FE308-7257-4041-A67A-44E3146350BC}">
            <xm:f>$Z$8='Assessment Details'!$Q$23</xm:f>
            <x14:dxf>
              <border>
                <left style="thin">
                  <color theme="0"/>
                </left>
                <right style="thin">
                  <color theme="0"/>
                </right>
                <top style="thin">
                  <color theme="0"/>
                </top>
                <bottom style="thin">
                  <color theme="0"/>
                </bottom>
                <vertical/>
                <horizontal/>
              </border>
            </x14:dxf>
          </x14:cfRule>
          <xm:sqref>U252:W252</xm:sqref>
        </x14:conditionalFormatting>
        <x14:conditionalFormatting xmlns:xm="http://schemas.microsoft.com/office/excel/2006/main">
          <x14:cfRule type="expression" priority="4058" id="{40A6C918-0285-4793-B4C0-2A0509B70D59}">
            <xm:f>$Z$8='Assessment Details'!$Q$23</xm:f>
            <x14:dxf>
              <font>
                <color theme="0"/>
              </font>
              <fill>
                <patternFill>
                  <bgColor theme="0"/>
                </patternFill>
              </fill>
            </x14:dxf>
          </x14:cfRule>
          <xm:sqref>X259:Y259</xm:sqref>
        </x14:conditionalFormatting>
        <x14:conditionalFormatting xmlns:xm="http://schemas.microsoft.com/office/excel/2006/main">
          <x14:cfRule type="expression" priority="4057" id="{8030EB4F-35E3-4365-929E-A938099568DB}">
            <xm:f>$Z$8='Assessment Details'!$Q$23</xm:f>
            <x14:dxf>
              <border>
                <left style="thin">
                  <color theme="0"/>
                </left>
                <right style="thin">
                  <color theme="0"/>
                </right>
                <top style="thin">
                  <color theme="0"/>
                </top>
                <bottom style="thin">
                  <color theme="0"/>
                </bottom>
                <vertical/>
                <horizontal/>
              </border>
            </x14:dxf>
          </x14:cfRule>
          <xm:sqref>X259:Y259</xm:sqref>
        </x14:conditionalFormatting>
        <x14:conditionalFormatting xmlns:xm="http://schemas.microsoft.com/office/excel/2006/main">
          <x14:cfRule type="expression" priority="4038" id="{70461200-1D86-4E38-AFA9-416F4C9719C2}">
            <xm:f>$Z$8='Assessment Details'!$Q$23</xm:f>
            <x14:dxf>
              <font>
                <color theme="0"/>
              </font>
              <fill>
                <patternFill>
                  <bgColor theme="0"/>
                </patternFill>
              </fill>
            </x14:dxf>
          </x14:cfRule>
          <xm:sqref>U259:W259</xm:sqref>
        </x14:conditionalFormatting>
        <x14:conditionalFormatting xmlns:xm="http://schemas.microsoft.com/office/excel/2006/main">
          <x14:cfRule type="expression" priority="4037" id="{3254B1F7-7614-4BEA-A0E0-0BC3006B01C7}">
            <xm:f>$Z$8='Assessment Details'!$Q$23</xm:f>
            <x14:dxf>
              <border>
                <left style="thin">
                  <color theme="0"/>
                </left>
                <right style="thin">
                  <color theme="0"/>
                </right>
                <top style="thin">
                  <color theme="0"/>
                </top>
                <bottom style="thin">
                  <color theme="0"/>
                </bottom>
                <vertical/>
                <horizontal/>
              </border>
            </x14:dxf>
          </x14:cfRule>
          <xm:sqref>U259:W259</xm:sqref>
        </x14:conditionalFormatting>
        <x14:conditionalFormatting xmlns:xm="http://schemas.microsoft.com/office/excel/2006/main">
          <x14:cfRule type="expression" priority="4025" id="{D6A69441-03E9-4327-8284-0BDA0464EEB2}">
            <xm:f>$Z$8='Assessment Details'!$Q$23</xm:f>
            <x14:dxf>
              <font>
                <color theme="0"/>
              </font>
              <fill>
                <patternFill>
                  <bgColor theme="0"/>
                </patternFill>
              </fill>
            </x14:dxf>
          </x14:cfRule>
          <xm:sqref>X254:Y254</xm:sqref>
        </x14:conditionalFormatting>
        <x14:conditionalFormatting xmlns:xm="http://schemas.microsoft.com/office/excel/2006/main">
          <x14:cfRule type="expression" priority="4024" id="{BAD3BC7F-0FB0-48CA-B45D-D3FDD9803F43}">
            <xm:f>$Z$8='Assessment Details'!$Q$23</xm:f>
            <x14:dxf>
              <border>
                <left style="thin">
                  <color theme="0"/>
                </left>
                <right style="thin">
                  <color theme="0"/>
                </right>
                <top style="thin">
                  <color theme="0"/>
                </top>
                <bottom style="thin">
                  <color theme="0"/>
                </bottom>
                <vertical/>
                <horizontal/>
              </border>
            </x14:dxf>
          </x14:cfRule>
          <xm:sqref>X254:Y254</xm:sqref>
        </x14:conditionalFormatting>
        <x14:conditionalFormatting xmlns:xm="http://schemas.microsoft.com/office/excel/2006/main">
          <x14:cfRule type="expression" priority="4013" id="{05CD3DBD-1D3C-47C4-979A-3B6551DB1F7B}">
            <xm:f>$Z$8='Assessment Details'!$Q$23</xm:f>
            <x14:dxf>
              <font>
                <color theme="0"/>
              </font>
              <fill>
                <patternFill>
                  <bgColor theme="0"/>
                </patternFill>
              </fill>
            </x14:dxf>
          </x14:cfRule>
          <xm:sqref>U254:W254</xm:sqref>
        </x14:conditionalFormatting>
        <x14:conditionalFormatting xmlns:xm="http://schemas.microsoft.com/office/excel/2006/main">
          <x14:cfRule type="expression" priority="4012" id="{E2809547-3D6A-400D-A44D-0B08F3FA074E}">
            <xm:f>$Z$8='Assessment Details'!$Q$23</xm:f>
            <x14:dxf>
              <border>
                <left style="thin">
                  <color theme="0"/>
                </left>
                <right style="thin">
                  <color theme="0"/>
                </right>
                <top style="thin">
                  <color theme="0"/>
                </top>
                <bottom style="thin">
                  <color theme="0"/>
                </bottom>
                <vertical/>
                <horizontal/>
              </border>
            </x14:dxf>
          </x14:cfRule>
          <xm:sqref>U254:W254</xm:sqref>
        </x14:conditionalFormatting>
        <x14:conditionalFormatting xmlns:xm="http://schemas.microsoft.com/office/excel/2006/main">
          <x14:cfRule type="expression" priority="3991" id="{399F52E0-54B9-42D8-B324-B9E504AB42A4}">
            <xm:f>$Z$8='Assessment Details'!$Q$23</xm:f>
            <x14:dxf>
              <font>
                <color theme="0"/>
              </font>
              <fill>
                <patternFill>
                  <bgColor theme="0"/>
                </patternFill>
              </fill>
            </x14:dxf>
          </x14:cfRule>
          <xm:sqref>U257:Y257</xm:sqref>
        </x14:conditionalFormatting>
        <x14:conditionalFormatting xmlns:xm="http://schemas.microsoft.com/office/excel/2006/main">
          <x14:cfRule type="expression" priority="3990" id="{AF88DC5A-E5BA-44F0-AA24-E74C2F4C750A}">
            <xm:f>$Z$8='Assessment Details'!$Q$23</xm:f>
            <x14:dxf>
              <border>
                <left style="thin">
                  <color theme="0"/>
                </left>
                <right style="thin">
                  <color theme="0"/>
                </right>
                <top style="thin">
                  <color theme="0"/>
                </top>
                <bottom style="thin">
                  <color theme="0"/>
                </bottom>
                <vertical/>
                <horizontal/>
              </border>
            </x14:dxf>
          </x14:cfRule>
          <xm:sqref>U257:Y257</xm:sqref>
        </x14:conditionalFormatting>
        <x14:conditionalFormatting xmlns:xm="http://schemas.microsoft.com/office/excel/2006/main">
          <x14:cfRule type="expression" priority="3969" id="{8171F4EA-E567-40FF-BC0B-6FCFBEC7F2DA}">
            <xm:f>$Z$8='Assessment Details'!$Q$23</xm:f>
            <x14:dxf>
              <font>
                <color theme="0"/>
              </font>
              <fill>
                <patternFill>
                  <bgColor theme="0"/>
                </patternFill>
              </fill>
            </x14:dxf>
          </x14:cfRule>
          <xm:sqref>U258:Y258</xm:sqref>
        </x14:conditionalFormatting>
        <x14:conditionalFormatting xmlns:xm="http://schemas.microsoft.com/office/excel/2006/main">
          <x14:cfRule type="expression" priority="3968" id="{666DDFF4-B863-47FE-ABF9-E2EE77E7729D}">
            <xm:f>$Z$8='Assessment Details'!$Q$23</xm:f>
            <x14:dxf>
              <border>
                <left style="thin">
                  <color theme="0"/>
                </left>
                <right style="thin">
                  <color theme="0"/>
                </right>
                <top style="thin">
                  <color theme="0"/>
                </top>
                <bottom style="thin">
                  <color theme="0"/>
                </bottom>
                <vertical/>
                <horizontal/>
              </border>
            </x14:dxf>
          </x14:cfRule>
          <xm:sqref>U258:Y258</xm:sqref>
        </x14:conditionalFormatting>
        <x14:conditionalFormatting xmlns:xm="http://schemas.microsoft.com/office/excel/2006/main">
          <x14:cfRule type="expression" priority="2865" id="{80841CB3-12D6-444D-9765-69377C98ED5F}">
            <xm:f>$S$8='Assessment Details'!$Q$23</xm:f>
            <x14:dxf>
              <font>
                <color theme="0"/>
              </font>
              <fill>
                <patternFill>
                  <bgColor theme="0"/>
                </patternFill>
              </fill>
              <border>
                <vertical/>
                <horizontal/>
              </border>
            </x14:dxf>
          </x14:cfRule>
          <xm:sqref>Q122:R122</xm:sqref>
        </x14:conditionalFormatting>
        <x14:conditionalFormatting xmlns:xm="http://schemas.microsoft.com/office/excel/2006/main">
          <x14:cfRule type="expression" priority="2864" id="{D2A6FA7D-D45E-40B6-94FC-90EE7AF965AF}">
            <xm:f>$S$8='Assessment Details'!$Q$23</xm:f>
            <x14:dxf>
              <border>
                <left style="thin">
                  <color theme="0"/>
                </left>
                <right style="thin">
                  <color theme="0"/>
                </right>
                <top style="thin">
                  <color theme="0"/>
                </top>
                <bottom style="thin">
                  <color theme="0"/>
                </bottom>
                <vertical/>
                <horizontal/>
              </border>
            </x14:dxf>
          </x14:cfRule>
          <xm:sqref>Q122:R122</xm:sqref>
        </x14:conditionalFormatting>
        <x14:conditionalFormatting xmlns:xm="http://schemas.microsoft.com/office/excel/2006/main">
          <x14:cfRule type="expression" priority="3743" id="{E7CFFBBB-3569-40FC-B86F-169605FB321A}">
            <xm:f>$Z$8='Assessment Details'!$Q$23</xm:f>
            <x14:dxf>
              <font>
                <color theme="0"/>
              </font>
              <fill>
                <patternFill>
                  <bgColor theme="0"/>
                </patternFill>
              </fill>
            </x14:dxf>
          </x14:cfRule>
          <xm:sqref>X247:Y247</xm:sqref>
        </x14:conditionalFormatting>
        <x14:conditionalFormatting xmlns:xm="http://schemas.microsoft.com/office/excel/2006/main">
          <x14:cfRule type="expression" priority="3742" id="{8A0C0AF9-9023-4533-9251-9341D84C35AF}">
            <xm:f>$Z$8='Assessment Details'!$Q$23</xm:f>
            <x14:dxf>
              <border>
                <left style="thin">
                  <color theme="0"/>
                </left>
                <right style="thin">
                  <color theme="0"/>
                </right>
                <top style="thin">
                  <color theme="0"/>
                </top>
                <bottom style="thin">
                  <color theme="0"/>
                </bottom>
                <vertical/>
                <horizontal/>
              </border>
            </x14:dxf>
          </x14:cfRule>
          <xm:sqref>X247:Y247</xm:sqref>
        </x14:conditionalFormatting>
        <x14:conditionalFormatting xmlns:xm="http://schemas.microsoft.com/office/excel/2006/main">
          <x14:cfRule type="expression" priority="3736" id="{0DCA768C-2245-43CB-B02B-B6C8672CA3A2}">
            <xm:f>$S$8='Assessment Details'!$Q$23</xm:f>
            <x14:dxf>
              <font>
                <color theme="0"/>
              </font>
              <fill>
                <patternFill>
                  <bgColor theme="0"/>
                </patternFill>
              </fill>
              <border>
                <vertical/>
                <horizontal/>
              </border>
            </x14:dxf>
          </x14:cfRule>
          <xm:sqref>N247:R247</xm:sqref>
        </x14:conditionalFormatting>
        <x14:conditionalFormatting xmlns:xm="http://schemas.microsoft.com/office/excel/2006/main">
          <x14:cfRule type="expression" priority="3735" id="{7E49C1AA-37D9-4981-8ADB-7C269B2ECAE3}">
            <xm:f>$S$8='Assessment Details'!$Q$23</xm:f>
            <x14:dxf>
              <border>
                <left style="thin">
                  <color theme="0"/>
                </left>
                <right style="thin">
                  <color theme="0"/>
                </right>
                <top style="thin">
                  <color theme="0"/>
                </top>
                <bottom style="thin">
                  <color theme="0"/>
                </bottom>
                <vertical/>
                <horizontal/>
              </border>
            </x14:dxf>
          </x14:cfRule>
          <xm:sqref>N247:R247</xm:sqref>
        </x14:conditionalFormatting>
        <x14:conditionalFormatting xmlns:xm="http://schemas.microsoft.com/office/excel/2006/main">
          <x14:cfRule type="expression" priority="3734" id="{77D1E0B0-30DF-4C79-9789-3D9EF437F938}">
            <xm:f>$Z$8='Assessment Details'!$Q$23</xm:f>
            <x14:dxf>
              <font>
                <color theme="0"/>
              </font>
              <fill>
                <patternFill>
                  <bgColor theme="0"/>
                </patternFill>
              </fill>
            </x14:dxf>
          </x14:cfRule>
          <xm:sqref>U247:W247</xm:sqref>
        </x14:conditionalFormatting>
        <x14:conditionalFormatting xmlns:xm="http://schemas.microsoft.com/office/excel/2006/main">
          <x14:cfRule type="expression" priority="3733" id="{3612A464-E812-4286-B9F5-C19F3242B82C}">
            <xm:f>$Z$8='Assessment Details'!$Q$23</xm:f>
            <x14:dxf>
              <border>
                <left style="thin">
                  <color theme="0"/>
                </left>
                <right style="thin">
                  <color theme="0"/>
                </right>
                <top style="thin">
                  <color theme="0"/>
                </top>
                <bottom style="thin">
                  <color theme="0"/>
                </bottom>
                <vertical/>
                <horizontal/>
              </border>
            </x14:dxf>
          </x14:cfRule>
          <xm:sqref>U247:W247</xm:sqref>
        </x14:conditionalFormatting>
        <x14:conditionalFormatting xmlns:xm="http://schemas.microsoft.com/office/excel/2006/main">
          <x14:cfRule type="expression" priority="3731" id="{B4E5A23B-2AC0-4018-8372-E7EB8F6F5B77}">
            <xm:f>$F$248='Assessment Details'!$O$61</xm:f>
            <x14:dxf>
              <font>
                <color theme="0" tint="-0.14996795556505021"/>
              </font>
              <fill>
                <patternFill>
                  <bgColor theme="0" tint="-0.14996795556505021"/>
                </patternFill>
              </fill>
            </x14:dxf>
          </x14:cfRule>
          <xm:sqref>G248:L248 N248:S248 U248:Z248</xm:sqref>
        </x14:conditionalFormatting>
        <x14:conditionalFormatting xmlns:xm="http://schemas.microsoft.com/office/excel/2006/main">
          <x14:cfRule type="expression" priority="3689"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88"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87"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86"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73"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72"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657"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656"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655"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654"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641"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640"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639"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638"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625"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624"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623"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622"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609"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608"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607"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606"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93"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92"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91"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90"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77"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76"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75"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74"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561"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560"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559"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558"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545"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544"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543"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542"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529"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528"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527"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526"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513"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512"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511"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510"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97"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96"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95"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94"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81"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80"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79"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78"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65"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64"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463"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462"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94"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93"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90"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89"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86"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85"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82"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81"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78"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77"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74"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73"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261" id="{1157C328-2960-4AAC-B89F-17A69C6D9E95}">
            <xm:f>$Z$8='Assessment Details'!$Q$23</xm:f>
            <x14:dxf>
              <border>
                <left style="thin">
                  <color theme="0"/>
                </left>
                <right style="thin">
                  <color theme="0"/>
                </right>
                <top style="thin">
                  <color theme="0"/>
                </top>
                <bottom style="thin">
                  <color theme="0"/>
                </bottom>
                <vertical/>
                <horizontal/>
              </border>
            </x14:dxf>
          </x14:cfRule>
          <xm:sqref>U207:U208</xm:sqref>
        </x14:conditionalFormatting>
        <x14:conditionalFormatting xmlns:xm="http://schemas.microsoft.com/office/excel/2006/main">
          <x14:cfRule type="expression" priority="3359" id="{6C3AC176-5C03-43AC-B982-5A5210702F2C}">
            <xm:f>$S$8='Assessment Details'!$Q$23</xm:f>
            <x14:dxf>
              <font>
                <color theme="0"/>
              </font>
              <fill>
                <patternFill>
                  <bgColor theme="0"/>
                </patternFill>
              </fill>
              <border>
                <vertical/>
                <horizontal/>
              </border>
            </x14:dxf>
          </x14:cfRule>
          <xm:sqref>Q38:R40</xm:sqref>
        </x14:conditionalFormatting>
        <x14:conditionalFormatting xmlns:xm="http://schemas.microsoft.com/office/excel/2006/main">
          <x14:cfRule type="expression" priority="3358" id="{DDB385AE-37C4-40DB-A9DD-5D96C9F8473F}">
            <xm:f>$S$8='Assessment Details'!$Q$23</xm:f>
            <x14:dxf>
              <border>
                <left style="thin">
                  <color theme="0"/>
                </left>
                <right style="thin">
                  <color theme="0"/>
                </right>
                <top style="thin">
                  <color theme="0"/>
                </top>
                <bottom style="thin">
                  <color theme="0"/>
                </bottom>
                <vertical/>
                <horizontal/>
              </border>
            </x14:dxf>
          </x14:cfRule>
          <xm:sqref>Q38:R40</xm:sqref>
        </x14:conditionalFormatting>
        <x14:conditionalFormatting xmlns:xm="http://schemas.microsoft.com/office/excel/2006/main">
          <x14:cfRule type="expression" priority="3357" id="{922435A6-256D-41EC-B350-F35DE030C64C}">
            <xm:f>$Z$8='Assessment Details'!$Q$23</xm:f>
            <x14:dxf>
              <font>
                <color theme="0"/>
              </font>
              <fill>
                <patternFill>
                  <bgColor theme="0"/>
                </patternFill>
              </fill>
            </x14:dxf>
          </x14:cfRule>
          <xm:sqref>X38:Y40</xm:sqref>
        </x14:conditionalFormatting>
        <x14:conditionalFormatting xmlns:xm="http://schemas.microsoft.com/office/excel/2006/main">
          <x14:cfRule type="expression" priority="3356" id="{30653C29-5FEC-4020-A8A1-BF730558D507}">
            <xm:f>$Z$8='Assessment Details'!$Q$23</xm:f>
            <x14:dxf>
              <border>
                <left style="thin">
                  <color theme="0"/>
                </left>
                <right style="thin">
                  <color theme="0"/>
                </right>
                <top style="thin">
                  <color theme="0"/>
                </top>
                <bottom style="thin">
                  <color theme="0"/>
                </bottom>
                <vertical/>
                <horizontal/>
              </border>
            </x14:dxf>
          </x14:cfRule>
          <xm:sqref>X38:Y40</xm:sqref>
        </x14:conditionalFormatting>
        <x14:conditionalFormatting xmlns:xm="http://schemas.microsoft.com/office/excel/2006/main">
          <x14:cfRule type="expression" priority="3338" id="{C5FDD142-AD61-4957-894A-D69E602D3558}">
            <xm:f>$S$8='Assessment Details'!$Q$23</xm:f>
            <x14:dxf>
              <font>
                <color theme="0"/>
              </font>
              <fill>
                <patternFill>
                  <bgColor theme="0"/>
                </patternFill>
              </fill>
              <border>
                <vertical/>
                <horizontal/>
              </border>
            </x14:dxf>
          </x14:cfRule>
          <xm:sqref>Q66:R66</xm:sqref>
        </x14:conditionalFormatting>
        <x14:conditionalFormatting xmlns:xm="http://schemas.microsoft.com/office/excel/2006/main">
          <x14:cfRule type="expression" priority="3337" id="{9DB8FE42-9040-4E4E-A9EA-F4D2918927B9}">
            <xm:f>$S$8='Assessment Details'!$Q$23</xm:f>
            <x14:dxf>
              <border>
                <left style="thin">
                  <color theme="0"/>
                </left>
                <right style="thin">
                  <color theme="0"/>
                </right>
                <top style="thin">
                  <color theme="0"/>
                </top>
                <bottom style="thin">
                  <color theme="0"/>
                </bottom>
                <vertical/>
                <horizontal/>
              </border>
            </x14:dxf>
          </x14:cfRule>
          <xm:sqref>Q66:R66</xm:sqref>
        </x14:conditionalFormatting>
        <x14:conditionalFormatting xmlns:xm="http://schemas.microsoft.com/office/excel/2006/main">
          <x14:cfRule type="expression" priority="3336" id="{2CA6F8E7-D3DE-4547-8A93-31B420D3AA32}">
            <xm:f>$Z$8='Assessment Details'!$Q$23</xm:f>
            <x14:dxf>
              <font>
                <color theme="0"/>
              </font>
              <fill>
                <patternFill>
                  <bgColor theme="0"/>
                </patternFill>
              </fill>
            </x14:dxf>
          </x14:cfRule>
          <xm:sqref>X66:Y66</xm:sqref>
        </x14:conditionalFormatting>
        <x14:conditionalFormatting xmlns:xm="http://schemas.microsoft.com/office/excel/2006/main">
          <x14:cfRule type="expression" priority="3335" id="{EB20820A-77BD-428A-B963-01B423B6B520}">
            <xm:f>$Z$8='Assessment Details'!$Q$23</xm:f>
            <x14:dxf>
              <border>
                <left style="thin">
                  <color theme="0"/>
                </left>
                <right style="thin">
                  <color theme="0"/>
                </right>
                <top style="thin">
                  <color theme="0"/>
                </top>
                <bottom style="thin">
                  <color theme="0"/>
                </bottom>
                <vertical/>
                <horizontal/>
              </border>
            </x14:dxf>
          </x14:cfRule>
          <xm:sqref>X66:Y66</xm:sqref>
        </x14:conditionalFormatting>
        <x14:conditionalFormatting xmlns:xm="http://schemas.microsoft.com/office/excel/2006/main">
          <x14:cfRule type="expression" priority="3317" id="{9BE243BD-939B-4B2A-8445-545F1AAAA016}">
            <xm:f>$S$8='Assessment Details'!$Q$23</xm:f>
            <x14:dxf>
              <font>
                <color theme="0"/>
              </font>
              <fill>
                <patternFill>
                  <bgColor theme="0"/>
                </patternFill>
              </fill>
              <border>
                <vertical/>
                <horizontal/>
              </border>
            </x14:dxf>
          </x14:cfRule>
          <xm:sqref>Q95:R95</xm:sqref>
        </x14:conditionalFormatting>
        <x14:conditionalFormatting xmlns:xm="http://schemas.microsoft.com/office/excel/2006/main">
          <x14:cfRule type="expression" priority="3316" id="{31D3F3DC-A5A6-43F7-A84E-47847D571250}">
            <xm:f>$S$8='Assessment Details'!$Q$23</xm:f>
            <x14:dxf>
              <border>
                <left style="thin">
                  <color theme="0"/>
                </left>
                <right style="thin">
                  <color theme="0"/>
                </right>
                <top style="thin">
                  <color theme="0"/>
                </top>
                <bottom style="thin">
                  <color theme="0"/>
                </bottom>
                <vertical/>
                <horizontal/>
              </border>
            </x14:dxf>
          </x14:cfRule>
          <xm:sqref>Q95:R95</xm:sqref>
        </x14:conditionalFormatting>
        <x14:conditionalFormatting xmlns:xm="http://schemas.microsoft.com/office/excel/2006/main">
          <x14:cfRule type="expression" priority="3315" id="{0D96B168-A075-4ACA-972F-7C5BD9EDF006}">
            <xm:f>$Z$8='Assessment Details'!$Q$23</xm:f>
            <x14:dxf>
              <font>
                <color theme="0"/>
              </font>
              <fill>
                <patternFill>
                  <bgColor theme="0"/>
                </patternFill>
              </fill>
            </x14:dxf>
          </x14:cfRule>
          <xm:sqref>X95:Y95</xm:sqref>
        </x14:conditionalFormatting>
        <x14:conditionalFormatting xmlns:xm="http://schemas.microsoft.com/office/excel/2006/main">
          <x14:cfRule type="expression" priority="3314" id="{BEDE4353-73BB-4268-9782-D92BFDFF7B2F}">
            <xm:f>$Z$8='Assessment Details'!$Q$23</xm:f>
            <x14:dxf>
              <border>
                <left style="thin">
                  <color theme="0"/>
                </left>
                <right style="thin">
                  <color theme="0"/>
                </right>
                <top style="thin">
                  <color theme="0"/>
                </top>
                <bottom style="thin">
                  <color theme="0"/>
                </bottom>
                <vertical/>
                <horizontal/>
              </border>
            </x14:dxf>
          </x14:cfRule>
          <xm:sqref>X95:Y95</xm:sqref>
        </x14:conditionalFormatting>
        <x14:conditionalFormatting xmlns:xm="http://schemas.microsoft.com/office/excel/2006/main">
          <x14:cfRule type="expression" priority="3296" id="{BD646086-7FEC-4608-8260-A1539322D6DC}">
            <xm:f>$S$8='Assessment Details'!$Q$23</xm:f>
            <x14:dxf>
              <font>
                <color theme="0"/>
              </font>
              <fill>
                <patternFill>
                  <bgColor theme="0"/>
                </patternFill>
              </fill>
              <border>
                <vertical/>
                <horizontal/>
              </border>
            </x14:dxf>
          </x14:cfRule>
          <xm:sqref>Q104:R104</xm:sqref>
        </x14:conditionalFormatting>
        <x14:conditionalFormatting xmlns:xm="http://schemas.microsoft.com/office/excel/2006/main">
          <x14:cfRule type="expression" priority="3295" id="{EEA9CA69-870A-4711-A0E3-C79AA489B52D}">
            <xm:f>$S$8='Assessment Details'!$Q$23</xm:f>
            <x14:dxf>
              <border>
                <left style="thin">
                  <color theme="0"/>
                </left>
                <right style="thin">
                  <color theme="0"/>
                </right>
                <top style="thin">
                  <color theme="0"/>
                </top>
                <bottom style="thin">
                  <color theme="0"/>
                </bottom>
                <vertical/>
                <horizontal/>
              </border>
            </x14:dxf>
          </x14:cfRule>
          <xm:sqref>Q104:R104</xm:sqref>
        </x14:conditionalFormatting>
        <x14:conditionalFormatting xmlns:xm="http://schemas.microsoft.com/office/excel/2006/main">
          <x14:cfRule type="expression" priority="3294" id="{26400E7D-6B6F-447E-83D4-8FC0EB5CF78E}">
            <xm:f>$Z$8='Assessment Details'!$Q$23</xm:f>
            <x14:dxf>
              <font>
                <color theme="0"/>
              </font>
              <fill>
                <patternFill>
                  <bgColor theme="0"/>
                </patternFill>
              </fill>
            </x14:dxf>
          </x14:cfRule>
          <xm:sqref>X104:Y104</xm:sqref>
        </x14:conditionalFormatting>
        <x14:conditionalFormatting xmlns:xm="http://schemas.microsoft.com/office/excel/2006/main">
          <x14:cfRule type="expression" priority="3293" id="{F8A3620C-8EF9-428C-A90A-9C7C4BFC7B8F}">
            <xm:f>$Z$8='Assessment Details'!$Q$23</xm:f>
            <x14:dxf>
              <border>
                <left style="thin">
                  <color theme="0"/>
                </left>
                <right style="thin">
                  <color theme="0"/>
                </right>
                <top style="thin">
                  <color theme="0"/>
                </top>
                <bottom style="thin">
                  <color theme="0"/>
                </bottom>
                <vertical/>
                <horizontal/>
              </border>
            </x14:dxf>
          </x14:cfRule>
          <xm:sqref>X104:Y104</xm:sqref>
        </x14:conditionalFormatting>
        <x14:conditionalFormatting xmlns:xm="http://schemas.microsoft.com/office/excel/2006/main">
          <x14:cfRule type="expression" priority="3275" id="{1421B727-C568-499F-B397-D12CBB809207}">
            <xm:f>$S$8='Assessment Details'!$Q$23</xm:f>
            <x14:dxf>
              <font>
                <color theme="0"/>
              </font>
              <fill>
                <patternFill>
                  <bgColor theme="0"/>
                </patternFill>
              </fill>
              <border>
                <vertical/>
                <horizontal/>
              </border>
            </x14:dxf>
          </x14:cfRule>
          <xm:sqref>Q118:R118</xm:sqref>
        </x14:conditionalFormatting>
        <x14:conditionalFormatting xmlns:xm="http://schemas.microsoft.com/office/excel/2006/main">
          <x14:cfRule type="expression" priority="3274" id="{8B0E32BB-5BEA-47CD-9C01-AAF17FE22052}">
            <xm:f>$S$8='Assessment Details'!$Q$23</xm:f>
            <x14:dxf>
              <border>
                <left style="thin">
                  <color theme="0"/>
                </left>
                <right style="thin">
                  <color theme="0"/>
                </right>
                <top style="thin">
                  <color theme="0"/>
                </top>
                <bottom style="thin">
                  <color theme="0"/>
                </bottom>
                <vertical/>
                <horizontal/>
              </border>
            </x14:dxf>
          </x14:cfRule>
          <xm:sqref>Q118:R118</xm:sqref>
        </x14:conditionalFormatting>
        <x14:conditionalFormatting xmlns:xm="http://schemas.microsoft.com/office/excel/2006/main">
          <x14:cfRule type="expression" priority="3273" id="{C13FC868-E52F-4756-B818-0A85DAE4126A}">
            <xm:f>$Z$8='Assessment Details'!$Q$23</xm:f>
            <x14:dxf>
              <font>
                <color theme="0"/>
              </font>
              <fill>
                <patternFill>
                  <bgColor theme="0"/>
                </patternFill>
              </fill>
            </x14:dxf>
          </x14:cfRule>
          <xm:sqref>X118:Y118</xm:sqref>
        </x14:conditionalFormatting>
        <x14:conditionalFormatting xmlns:xm="http://schemas.microsoft.com/office/excel/2006/main">
          <x14:cfRule type="expression" priority="3272" id="{88FDF083-3680-4574-BAB7-515BC4B41E56}">
            <xm:f>$Z$8='Assessment Details'!$Q$23</xm:f>
            <x14:dxf>
              <border>
                <left style="thin">
                  <color theme="0"/>
                </left>
                <right style="thin">
                  <color theme="0"/>
                </right>
                <top style="thin">
                  <color theme="0"/>
                </top>
                <bottom style="thin">
                  <color theme="0"/>
                </bottom>
                <vertical/>
                <horizontal/>
              </border>
            </x14:dxf>
          </x14:cfRule>
          <xm:sqref>X118:Y118</xm:sqref>
        </x14:conditionalFormatting>
        <x14:conditionalFormatting xmlns:xm="http://schemas.microsoft.com/office/excel/2006/main">
          <x14:cfRule type="expression" priority="3254" id="{81F3038F-426F-4747-8900-DBE5B652BCC2}">
            <xm:f>$S$8='Assessment Details'!$Q$23</xm:f>
            <x14:dxf>
              <font>
                <color theme="0"/>
              </font>
              <fill>
                <patternFill>
                  <bgColor theme="0"/>
                </patternFill>
              </fill>
              <border>
                <vertical/>
                <horizontal/>
              </border>
            </x14:dxf>
          </x14:cfRule>
          <xm:sqref>Q148:R148</xm:sqref>
        </x14:conditionalFormatting>
        <x14:conditionalFormatting xmlns:xm="http://schemas.microsoft.com/office/excel/2006/main">
          <x14:cfRule type="expression" priority="3253" id="{28CCF0C5-F228-4C53-8E33-EBBA0F28B7CE}">
            <xm:f>$S$8='Assessment Details'!$Q$23</xm:f>
            <x14:dxf>
              <border>
                <left style="thin">
                  <color theme="0"/>
                </left>
                <right style="thin">
                  <color theme="0"/>
                </right>
                <top style="thin">
                  <color theme="0"/>
                </top>
                <bottom style="thin">
                  <color theme="0"/>
                </bottom>
                <vertical/>
                <horizontal/>
              </border>
            </x14:dxf>
          </x14:cfRule>
          <xm:sqref>Q148:R148</xm:sqref>
        </x14:conditionalFormatting>
        <x14:conditionalFormatting xmlns:xm="http://schemas.microsoft.com/office/excel/2006/main">
          <x14:cfRule type="expression" priority="3252" id="{7383BAE4-3D48-4869-9E46-23F6B5EB3A82}">
            <xm:f>$Z$8='Assessment Details'!$Q$23</xm:f>
            <x14:dxf>
              <font>
                <color theme="0"/>
              </font>
              <fill>
                <patternFill>
                  <bgColor theme="0"/>
                </patternFill>
              </fill>
            </x14:dxf>
          </x14:cfRule>
          <xm:sqref>X148:Y148</xm:sqref>
        </x14:conditionalFormatting>
        <x14:conditionalFormatting xmlns:xm="http://schemas.microsoft.com/office/excel/2006/main">
          <x14:cfRule type="expression" priority="3251" id="{FCFE5056-63F8-452F-AED4-120DD2450C0C}">
            <xm:f>$Z$8='Assessment Details'!$Q$23</xm:f>
            <x14:dxf>
              <border>
                <left style="thin">
                  <color theme="0"/>
                </left>
                <right style="thin">
                  <color theme="0"/>
                </right>
                <top style="thin">
                  <color theme="0"/>
                </top>
                <bottom style="thin">
                  <color theme="0"/>
                </bottom>
                <vertical/>
                <horizontal/>
              </border>
            </x14:dxf>
          </x14:cfRule>
          <xm:sqref>X148:Y148</xm:sqref>
        </x14:conditionalFormatting>
        <x14:conditionalFormatting xmlns:xm="http://schemas.microsoft.com/office/excel/2006/main">
          <x14:cfRule type="expression" priority="3233" id="{0444930C-4CE3-44D2-BC81-4C1D88FCCA1B}">
            <xm:f>$S$8='Assessment Details'!$Q$23</xm:f>
            <x14:dxf>
              <font>
                <color theme="0"/>
              </font>
              <fill>
                <patternFill>
                  <bgColor theme="0"/>
                </patternFill>
              </fill>
              <border>
                <vertical/>
                <horizontal/>
              </border>
            </x14:dxf>
          </x14:cfRule>
          <xm:sqref>Q163:R163</xm:sqref>
        </x14:conditionalFormatting>
        <x14:conditionalFormatting xmlns:xm="http://schemas.microsoft.com/office/excel/2006/main">
          <x14:cfRule type="expression" priority="3232" id="{2DBE5A5D-98A8-4AE5-BC54-26B6836E0BC9}">
            <xm:f>$S$8='Assessment Details'!$Q$23</xm:f>
            <x14:dxf>
              <border>
                <left style="thin">
                  <color theme="0"/>
                </left>
                <right style="thin">
                  <color theme="0"/>
                </right>
                <top style="thin">
                  <color theme="0"/>
                </top>
                <bottom style="thin">
                  <color theme="0"/>
                </bottom>
                <vertical/>
                <horizontal/>
              </border>
            </x14:dxf>
          </x14:cfRule>
          <xm:sqref>Q163:R163</xm:sqref>
        </x14:conditionalFormatting>
        <x14:conditionalFormatting xmlns:xm="http://schemas.microsoft.com/office/excel/2006/main">
          <x14:cfRule type="expression" priority="3231" id="{CAF06E05-9020-4AD1-8454-3BB6ED627400}">
            <xm:f>$Z$8='Assessment Details'!$Q$23</xm:f>
            <x14:dxf>
              <font>
                <color theme="0"/>
              </font>
              <fill>
                <patternFill>
                  <bgColor theme="0"/>
                </patternFill>
              </fill>
            </x14:dxf>
          </x14:cfRule>
          <xm:sqref>X163:Y163</xm:sqref>
        </x14:conditionalFormatting>
        <x14:conditionalFormatting xmlns:xm="http://schemas.microsoft.com/office/excel/2006/main">
          <x14:cfRule type="expression" priority="3230" id="{263A6C7E-BA95-4754-8A43-ED99E15179A0}">
            <xm:f>$Z$8='Assessment Details'!$Q$23</xm:f>
            <x14:dxf>
              <border>
                <left style="thin">
                  <color theme="0"/>
                </left>
                <right style="thin">
                  <color theme="0"/>
                </right>
                <top style="thin">
                  <color theme="0"/>
                </top>
                <bottom style="thin">
                  <color theme="0"/>
                </bottom>
                <vertical/>
                <horizontal/>
              </border>
            </x14:dxf>
          </x14:cfRule>
          <xm:sqref>X163:Y163</xm:sqref>
        </x14:conditionalFormatting>
        <x14:conditionalFormatting xmlns:xm="http://schemas.microsoft.com/office/excel/2006/main">
          <x14:cfRule type="expression" priority="3212" id="{CFFC450B-3C88-4BFB-ACDE-B81081183CE2}">
            <xm:f>$S$8='Assessment Details'!$Q$23</xm:f>
            <x14:dxf>
              <font>
                <color theme="0"/>
              </font>
              <fill>
                <patternFill>
                  <bgColor theme="0"/>
                </patternFill>
              </fill>
              <border>
                <vertical/>
                <horizontal/>
              </border>
            </x14:dxf>
          </x14:cfRule>
          <xm:sqref>Q195:R195</xm:sqref>
        </x14:conditionalFormatting>
        <x14:conditionalFormatting xmlns:xm="http://schemas.microsoft.com/office/excel/2006/main">
          <x14:cfRule type="expression" priority="3211" id="{2DEBF06C-E242-4F1F-A859-338D0E5EDD24}">
            <xm:f>$S$8='Assessment Details'!$Q$23</xm:f>
            <x14:dxf>
              <border>
                <left style="thin">
                  <color theme="0"/>
                </left>
                <right style="thin">
                  <color theme="0"/>
                </right>
                <top style="thin">
                  <color theme="0"/>
                </top>
                <bottom style="thin">
                  <color theme="0"/>
                </bottom>
                <vertical/>
                <horizontal/>
              </border>
            </x14:dxf>
          </x14:cfRule>
          <xm:sqref>Q195:R195</xm:sqref>
        </x14:conditionalFormatting>
        <x14:conditionalFormatting xmlns:xm="http://schemas.microsoft.com/office/excel/2006/main">
          <x14:cfRule type="expression" priority="3210" id="{DEC4FF61-29DE-4AF0-9EA4-ABA92DE9431F}">
            <xm:f>$Z$8='Assessment Details'!$Q$23</xm:f>
            <x14:dxf>
              <font>
                <color theme="0"/>
              </font>
              <fill>
                <patternFill>
                  <bgColor theme="0"/>
                </patternFill>
              </fill>
            </x14:dxf>
          </x14:cfRule>
          <xm:sqref>X195:Y195</xm:sqref>
        </x14:conditionalFormatting>
        <x14:conditionalFormatting xmlns:xm="http://schemas.microsoft.com/office/excel/2006/main">
          <x14:cfRule type="expression" priority="3209" id="{DC296F35-B16D-4F66-B19D-31F96D1F6B50}">
            <xm:f>$Z$8='Assessment Details'!$Q$23</xm:f>
            <x14:dxf>
              <border>
                <left style="thin">
                  <color theme="0"/>
                </left>
                <right style="thin">
                  <color theme="0"/>
                </right>
                <top style="thin">
                  <color theme="0"/>
                </top>
                <bottom style="thin">
                  <color theme="0"/>
                </bottom>
                <vertical/>
                <horizontal/>
              </border>
            </x14:dxf>
          </x14:cfRule>
          <xm:sqref>X195:Y195</xm:sqref>
        </x14:conditionalFormatting>
        <x14:conditionalFormatting xmlns:xm="http://schemas.microsoft.com/office/excel/2006/main">
          <x14:cfRule type="expression" priority="3195" id="{6A17C14E-95CA-4F1C-941A-66E9A1A1F0C1}">
            <xm:f>$S$8='Assessment Details'!$Q$23</xm:f>
            <x14:dxf>
              <font>
                <color theme="0"/>
              </font>
              <fill>
                <patternFill>
                  <bgColor theme="0"/>
                </patternFill>
              </fill>
              <border>
                <vertical/>
                <horizontal/>
              </border>
            </x14:dxf>
          </x14:cfRule>
          <xm:sqref>Q46:R46</xm:sqref>
        </x14:conditionalFormatting>
        <x14:conditionalFormatting xmlns:xm="http://schemas.microsoft.com/office/excel/2006/main">
          <x14:cfRule type="expression" priority="3194" id="{F769F6F4-F7AE-411A-9AB4-D2BEE81131E4}">
            <xm:f>$S$8='Assessment Details'!$Q$23</xm:f>
            <x14:dxf>
              <border>
                <left style="thin">
                  <color theme="0"/>
                </left>
                <right style="thin">
                  <color theme="0"/>
                </right>
                <top style="thin">
                  <color theme="0"/>
                </top>
                <bottom style="thin">
                  <color theme="0"/>
                </bottom>
                <vertical/>
                <horizontal/>
              </border>
            </x14:dxf>
          </x14:cfRule>
          <xm:sqref>Q46:R46</xm:sqref>
        </x14:conditionalFormatting>
        <x14:conditionalFormatting xmlns:xm="http://schemas.microsoft.com/office/excel/2006/main">
          <x14:cfRule type="expression" priority="3193" id="{A0788221-5360-4C20-8F7C-C13BEF4AB25B}">
            <xm:f>$Z$8='Assessment Details'!$Q$23</xm:f>
            <x14:dxf>
              <font>
                <color theme="0"/>
              </font>
              <fill>
                <patternFill>
                  <bgColor theme="0"/>
                </patternFill>
              </fill>
            </x14:dxf>
          </x14:cfRule>
          <xm:sqref>X46:Y46</xm:sqref>
        </x14:conditionalFormatting>
        <x14:conditionalFormatting xmlns:xm="http://schemas.microsoft.com/office/excel/2006/main">
          <x14:cfRule type="expression" priority="3192" id="{63B44E60-F62E-48F7-B912-3C336492CDB7}">
            <xm:f>$Z$8='Assessment Details'!$Q$23</xm:f>
            <x14:dxf>
              <border>
                <left style="thin">
                  <color theme="0"/>
                </left>
                <right style="thin">
                  <color theme="0"/>
                </right>
                <top style="thin">
                  <color theme="0"/>
                </top>
                <bottom style="thin">
                  <color theme="0"/>
                </bottom>
                <vertical/>
                <horizontal/>
              </border>
            </x14:dxf>
          </x14:cfRule>
          <xm:sqref>X46:Y46</xm:sqref>
        </x14:conditionalFormatting>
        <x14:conditionalFormatting xmlns:xm="http://schemas.microsoft.com/office/excel/2006/main">
          <x14:cfRule type="expression" priority="3173" id="{CBDEB4C6-EF37-4241-8BAA-7739B31D5E1D}">
            <xm:f>$S$8='Assessment Details'!$Q$23</xm:f>
            <x14:dxf>
              <font>
                <color theme="0"/>
              </font>
              <fill>
                <patternFill>
                  <bgColor theme="0"/>
                </patternFill>
              </fill>
              <border>
                <vertical/>
                <horizontal/>
              </border>
            </x14:dxf>
          </x14:cfRule>
          <xm:sqref>Q51:R51</xm:sqref>
        </x14:conditionalFormatting>
        <x14:conditionalFormatting xmlns:xm="http://schemas.microsoft.com/office/excel/2006/main">
          <x14:cfRule type="expression" priority="3172" id="{98C9992C-FC97-4376-8F1F-6C25652AA061}">
            <xm:f>$S$8='Assessment Details'!$Q$23</xm:f>
            <x14:dxf>
              <border>
                <left style="thin">
                  <color theme="0"/>
                </left>
                <right style="thin">
                  <color theme="0"/>
                </right>
                <top style="thin">
                  <color theme="0"/>
                </top>
                <bottom style="thin">
                  <color theme="0"/>
                </bottom>
                <vertical/>
                <horizontal/>
              </border>
            </x14:dxf>
          </x14:cfRule>
          <xm:sqref>Q51:R51</xm:sqref>
        </x14:conditionalFormatting>
        <x14:conditionalFormatting xmlns:xm="http://schemas.microsoft.com/office/excel/2006/main">
          <x14:cfRule type="expression" priority="3171" id="{1E0CC94B-D03A-43E3-ABDB-D0627BB41F93}">
            <xm:f>$Z$8='Assessment Details'!$Q$23</xm:f>
            <x14:dxf>
              <font>
                <color theme="0"/>
              </font>
              <fill>
                <patternFill>
                  <bgColor theme="0"/>
                </patternFill>
              </fill>
            </x14:dxf>
          </x14:cfRule>
          <xm:sqref>X51:Y51</xm:sqref>
        </x14:conditionalFormatting>
        <x14:conditionalFormatting xmlns:xm="http://schemas.microsoft.com/office/excel/2006/main">
          <x14:cfRule type="expression" priority="3170" id="{A0BFE9FF-1D5A-44B7-B8CC-374C010E9FD7}">
            <xm:f>$Z$8='Assessment Details'!$Q$23</xm:f>
            <x14:dxf>
              <border>
                <left style="thin">
                  <color theme="0"/>
                </left>
                <right style="thin">
                  <color theme="0"/>
                </right>
                <top style="thin">
                  <color theme="0"/>
                </top>
                <bottom style="thin">
                  <color theme="0"/>
                </bottom>
                <vertical/>
                <horizontal/>
              </border>
            </x14:dxf>
          </x14:cfRule>
          <xm:sqref>X51:Y51</xm:sqref>
        </x14:conditionalFormatting>
        <x14:conditionalFormatting xmlns:xm="http://schemas.microsoft.com/office/excel/2006/main">
          <x14:cfRule type="expression" priority="3151" id="{9315D916-3649-45C8-B0ED-ACFE0A540766}">
            <xm:f>$S$8='Assessment Details'!$Q$23</xm:f>
            <x14:dxf>
              <font>
                <color theme="0"/>
              </font>
              <fill>
                <patternFill>
                  <bgColor theme="0"/>
                </patternFill>
              </fill>
              <border>
                <vertical/>
                <horizontal/>
              </border>
            </x14:dxf>
          </x14:cfRule>
          <xm:sqref>Q55:R55</xm:sqref>
        </x14:conditionalFormatting>
        <x14:conditionalFormatting xmlns:xm="http://schemas.microsoft.com/office/excel/2006/main">
          <x14:cfRule type="expression" priority="3150" id="{AACA57D1-7737-49BB-B036-00DAFF086512}">
            <xm:f>$S$8='Assessment Details'!$Q$23</xm:f>
            <x14:dxf>
              <border>
                <left style="thin">
                  <color theme="0"/>
                </left>
                <right style="thin">
                  <color theme="0"/>
                </right>
                <top style="thin">
                  <color theme="0"/>
                </top>
                <bottom style="thin">
                  <color theme="0"/>
                </bottom>
                <vertical/>
                <horizontal/>
              </border>
            </x14:dxf>
          </x14:cfRule>
          <xm:sqref>Q55:R55</xm:sqref>
        </x14:conditionalFormatting>
        <x14:conditionalFormatting xmlns:xm="http://schemas.microsoft.com/office/excel/2006/main">
          <x14:cfRule type="expression" priority="3149" id="{43C21B87-38F1-427F-A470-0691091C6BDB}">
            <xm:f>$Z$8='Assessment Details'!$Q$23</xm:f>
            <x14:dxf>
              <font>
                <color theme="0"/>
              </font>
              <fill>
                <patternFill>
                  <bgColor theme="0"/>
                </patternFill>
              </fill>
            </x14:dxf>
          </x14:cfRule>
          <xm:sqref>X55:Y55</xm:sqref>
        </x14:conditionalFormatting>
        <x14:conditionalFormatting xmlns:xm="http://schemas.microsoft.com/office/excel/2006/main">
          <x14:cfRule type="expression" priority="3148" id="{DDB11178-A34E-43ED-9082-874182B16AC8}">
            <xm:f>$Z$8='Assessment Details'!$Q$23</xm:f>
            <x14:dxf>
              <border>
                <left style="thin">
                  <color theme="0"/>
                </left>
                <right style="thin">
                  <color theme="0"/>
                </right>
                <top style="thin">
                  <color theme="0"/>
                </top>
                <bottom style="thin">
                  <color theme="0"/>
                </bottom>
                <vertical/>
                <horizontal/>
              </border>
            </x14:dxf>
          </x14:cfRule>
          <xm:sqref>X55:Y55</xm:sqref>
        </x14:conditionalFormatting>
        <x14:conditionalFormatting xmlns:xm="http://schemas.microsoft.com/office/excel/2006/main">
          <x14:cfRule type="expression" priority="3129" id="{2AAD307E-B81E-482C-9484-1DC14EB803E1}">
            <xm:f>$S$8='Assessment Details'!$Q$23</xm:f>
            <x14:dxf>
              <font>
                <color theme="0"/>
              </font>
              <fill>
                <patternFill>
                  <bgColor theme="0"/>
                </patternFill>
              </fill>
              <border>
                <vertical/>
                <horizontal/>
              </border>
            </x14:dxf>
          </x14:cfRule>
          <xm:sqref>Q58:R58</xm:sqref>
        </x14:conditionalFormatting>
        <x14:conditionalFormatting xmlns:xm="http://schemas.microsoft.com/office/excel/2006/main">
          <x14:cfRule type="expression" priority="3128" id="{C6779728-8D99-4A90-B6F0-6A91A235055A}">
            <xm:f>$S$8='Assessment Details'!$Q$23</xm:f>
            <x14:dxf>
              <border>
                <left style="thin">
                  <color theme="0"/>
                </left>
                <right style="thin">
                  <color theme="0"/>
                </right>
                <top style="thin">
                  <color theme="0"/>
                </top>
                <bottom style="thin">
                  <color theme="0"/>
                </bottom>
                <vertical/>
                <horizontal/>
              </border>
            </x14:dxf>
          </x14:cfRule>
          <xm:sqref>Q58:R58</xm:sqref>
        </x14:conditionalFormatting>
        <x14:conditionalFormatting xmlns:xm="http://schemas.microsoft.com/office/excel/2006/main">
          <x14:cfRule type="expression" priority="3127" id="{470EE464-3C4C-46E9-97C4-A37B85B17826}">
            <xm:f>$Z$8='Assessment Details'!$Q$23</xm:f>
            <x14:dxf>
              <font>
                <color theme="0"/>
              </font>
              <fill>
                <patternFill>
                  <bgColor theme="0"/>
                </patternFill>
              </fill>
            </x14:dxf>
          </x14:cfRule>
          <xm:sqref>X58:Y58</xm:sqref>
        </x14:conditionalFormatting>
        <x14:conditionalFormatting xmlns:xm="http://schemas.microsoft.com/office/excel/2006/main">
          <x14:cfRule type="expression" priority="3126" id="{CD4B009A-E5AC-4E20-A4D7-4F7AD941F9AC}">
            <xm:f>$Z$8='Assessment Details'!$Q$23</xm:f>
            <x14:dxf>
              <border>
                <left style="thin">
                  <color theme="0"/>
                </left>
                <right style="thin">
                  <color theme="0"/>
                </right>
                <top style="thin">
                  <color theme="0"/>
                </top>
                <bottom style="thin">
                  <color theme="0"/>
                </bottom>
                <vertical/>
                <horizontal/>
              </border>
            </x14:dxf>
          </x14:cfRule>
          <xm:sqref>X58:Y58</xm:sqref>
        </x14:conditionalFormatting>
        <x14:conditionalFormatting xmlns:xm="http://schemas.microsoft.com/office/excel/2006/main">
          <x14:cfRule type="expression" priority="3107" id="{975964DE-804D-495C-95B4-CA7D3DAF2E82}">
            <xm:f>$S$8='Assessment Details'!$Q$23</xm:f>
            <x14:dxf>
              <font>
                <color theme="0"/>
              </font>
              <fill>
                <patternFill>
                  <bgColor theme="0"/>
                </patternFill>
              </fill>
              <border>
                <vertical/>
                <horizontal/>
              </border>
            </x14:dxf>
          </x14:cfRule>
          <xm:sqref>Q61:R61</xm:sqref>
        </x14:conditionalFormatting>
        <x14:conditionalFormatting xmlns:xm="http://schemas.microsoft.com/office/excel/2006/main">
          <x14:cfRule type="expression" priority="3106" id="{2FD449FD-26A9-4824-9821-933499E607A2}">
            <xm:f>$S$8='Assessment Details'!$Q$23</xm:f>
            <x14:dxf>
              <border>
                <left style="thin">
                  <color theme="0"/>
                </left>
                <right style="thin">
                  <color theme="0"/>
                </right>
                <top style="thin">
                  <color theme="0"/>
                </top>
                <bottom style="thin">
                  <color theme="0"/>
                </bottom>
                <vertical/>
                <horizontal/>
              </border>
            </x14:dxf>
          </x14:cfRule>
          <xm:sqref>Q61:R61</xm:sqref>
        </x14:conditionalFormatting>
        <x14:conditionalFormatting xmlns:xm="http://schemas.microsoft.com/office/excel/2006/main">
          <x14:cfRule type="expression" priority="3105" id="{53218113-CCB3-4635-A5AC-62772AC4C7F2}">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3104" id="{4569F90B-1D29-4385-89F3-FEF7A6FF3CEB}">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3085" id="{3FE0B8C7-AF59-4BAA-8351-A2283C16C719}">
            <xm:f>$S$8='Assessment Details'!$Q$23</xm:f>
            <x14:dxf>
              <font>
                <color theme="0"/>
              </font>
              <fill>
                <patternFill>
                  <bgColor theme="0"/>
                </patternFill>
              </fill>
              <border>
                <vertical/>
                <horizontal/>
              </border>
            </x14:dxf>
          </x14:cfRule>
          <xm:sqref>Q73:R73</xm:sqref>
        </x14:conditionalFormatting>
        <x14:conditionalFormatting xmlns:xm="http://schemas.microsoft.com/office/excel/2006/main">
          <x14:cfRule type="expression" priority="3084" id="{744A8893-9FB1-48B4-81C7-A924173E43A7}">
            <xm:f>$S$8='Assessment Details'!$Q$23</xm:f>
            <x14:dxf>
              <border>
                <left style="thin">
                  <color theme="0"/>
                </left>
                <right style="thin">
                  <color theme="0"/>
                </right>
                <top style="thin">
                  <color theme="0"/>
                </top>
                <bottom style="thin">
                  <color theme="0"/>
                </bottom>
                <vertical/>
                <horizontal/>
              </border>
            </x14:dxf>
          </x14:cfRule>
          <xm:sqref>Q73:R73</xm:sqref>
        </x14:conditionalFormatting>
        <x14:conditionalFormatting xmlns:xm="http://schemas.microsoft.com/office/excel/2006/main">
          <x14:cfRule type="expression" priority="3083" id="{3397C7F4-C330-4414-AAB9-176876412400}">
            <xm:f>$Z$8='Assessment Details'!$Q$23</xm:f>
            <x14:dxf>
              <font>
                <color theme="0"/>
              </font>
              <fill>
                <patternFill>
                  <bgColor theme="0"/>
                </patternFill>
              </fill>
            </x14:dxf>
          </x14:cfRule>
          <xm:sqref>X73:Y73</xm:sqref>
        </x14:conditionalFormatting>
        <x14:conditionalFormatting xmlns:xm="http://schemas.microsoft.com/office/excel/2006/main">
          <x14:cfRule type="expression" priority="3082" id="{B5042649-6E98-49F5-9F51-BDC5603B9163}">
            <xm:f>$Z$8='Assessment Details'!$Q$23</xm:f>
            <x14:dxf>
              <border>
                <left style="thin">
                  <color theme="0"/>
                </left>
                <right style="thin">
                  <color theme="0"/>
                </right>
                <top style="thin">
                  <color theme="0"/>
                </top>
                <bottom style="thin">
                  <color theme="0"/>
                </bottom>
                <vertical/>
                <horizontal/>
              </border>
            </x14:dxf>
          </x14:cfRule>
          <xm:sqref>X73:Y73</xm:sqref>
        </x14:conditionalFormatting>
        <x14:conditionalFormatting xmlns:xm="http://schemas.microsoft.com/office/excel/2006/main">
          <x14:cfRule type="expression" priority="3063" id="{3BDE55F1-2597-4D5D-B985-F19E1B68F8B3}">
            <xm:f>$S$8='Assessment Details'!$Q$23</xm:f>
            <x14:dxf>
              <font>
                <color theme="0"/>
              </font>
              <fill>
                <patternFill>
                  <bgColor theme="0"/>
                </patternFill>
              </fill>
              <border>
                <vertical/>
                <horizontal/>
              </border>
            </x14:dxf>
          </x14:cfRule>
          <xm:sqref>Q77:R77</xm:sqref>
        </x14:conditionalFormatting>
        <x14:conditionalFormatting xmlns:xm="http://schemas.microsoft.com/office/excel/2006/main">
          <x14:cfRule type="expression" priority="3062" id="{7DB5EF78-5E1D-4CEB-B68B-36F15715CC2C}">
            <xm:f>$S$8='Assessment Details'!$Q$23</xm:f>
            <x14:dxf>
              <border>
                <left style="thin">
                  <color theme="0"/>
                </left>
                <right style="thin">
                  <color theme="0"/>
                </right>
                <top style="thin">
                  <color theme="0"/>
                </top>
                <bottom style="thin">
                  <color theme="0"/>
                </bottom>
                <vertical/>
                <horizontal/>
              </border>
            </x14:dxf>
          </x14:cfRule>
          <xm:sqref>Q77:R77</xm:sqref>
        </x14:conditionalFormatting>
        <x14:conditionalFormatting xmlns:xm="http://schemas.microsoft.com/office/excel/2006/main">
          <x14:cfRule type="expression" priority="3061" id="{B7F673B5-6598-42A2-A4AD-C77751D77902}">
            <xm:f>$Z$8='Assessment Details'!$Q$23</xm:f>
            <x14:dxf>
              <font>
                <color theme="0"/>
              </font>
              <fill>
                <patternFill>
                  <bgColor theme="0"/>
                </patternFill>
              </fill>
            </x14:dxf>
          </x14:cfRule>
          <xm:sqref>X77:Y77</xm:sqref>
        </x14:conditionalFormatting>
        <x14:conditionalFormatting xmlns:xm="http://schemas.microsoft.com/office/excel/2006/main">
          <x14:cfRule type="expression" priority="3060" id="{0D5867F6-0EAC-4D52-8C53-73D8646CD703}">
            <xm:f>$Z$8='Assessment Details'!$Q$23</xm:f>
            <x14:dxf>
              <border>
                <left style="thin">
                  <color theme="0"/>
                </left>
                <right style="thin">
                  <color theme="0"/>
                </right>
                <top style="thin">
                  <color theme="0"/>
                </top>
                <bottom style="thin">
                  <color theme="0"/>
                </bottom>
                <vertical/>
                <horizontal/>
              </border>
            </x14:dxf>
          </x14:cfRule>
          <xm:sqref>X77:Y77</xm:sqref>
        </x14:conditionalFormatting>
        <x14:conditionalFormatting xmlns:xm="http://schemas.microsoft.com/office/excel/2006/main">
          <x14:cfRule type="expression" priority="3041" id="{27B4461D-31DA-46E2-81BE-F64C43193179}">
            <xm:f>$S$8='Assessment Details'!$Q$23</xm:f>
            <x14:dxf>
              <font>
                <color theme="0"/>
              </font>
              <fill>
                <patternFill>
                  <bgColor theme="0"/>
                </patternFill>
              </fill>
              <border>
                <vertical/>
                <horizontal/>
              </border>
            </x14:dxf>
          </x14:cfRule>
          <xm:sqref>Q80:R80</xm:sqref>
        </x14:conditionalFormatting>
        <x14:conditionalFormatting xmlns:xm="http://schemas.microsoft.com/office/excel/2006/main">
          <x14:cfRule type="expression" priority="3040" id="{C7FF73EF-F8DB-4976-826A-87D01FA4BB29}">
            <xm:f>$S$8='Assessment Details'!$Q$23</xm:f>
            <x14:dxf>
              <border>
                <left style="thin">
                  <color theme="0"/>
                </left>
                <right style="thin">
                  <color theme="0"/>
                </right>
                <top style="thin">
                  <color theme="0"/>
                </top>
                <bottom style="thin">
                  <color theme="0"/>
                </bottom>
                <vertical/>
                <horizontal/>
              </border>
            </x14:dxf>
          </x14:cfRule>
          <xm:sqref>Q80:R80</xm:sqref>
        </x14:conditionalFormatting>
        <x14:conditionalFormatting xmlns:xm="http://schemas.microsoft.com/office/excel/2006/main">
          <x14:cfRule type="expression" priority="3039" id="{B65E1349-7466-4A9B-9235-ED83157FA8A1}">
            <xm:f>$Z$8='Assessment Details'!$Q$23</xm:f>
            <x14:dxf>
              <font>
                <color theme="0"/>
              </font>
              <fill>
                <patternFill>
                  <bgColor theme="0"/>
                </patternFill>
              </fill>
            </x14:dxf>
          </x14:cfRule>
          <xm:sqref>X80:Y80</xm:sqref>
        </x14:conditionalFormatting>
        <x14:conditionalFormatting xmlns:xm="http://schemas.microsoft.com/office/excel/2006/main">
          <x14:cfRule type="expression" priority="3038" id="{C3FC58F5-9EF2-45D7-9B97-0D6C18882827}">
            <xm:f>$Z$8='Assessment Details'!$Q$23</xm:f>
            <x14:dxf>
              <border>
                <left style="thin">
                  <color theme="0"/>
                </left>
                <right style="thin">
                  <color theme="0"/>
                </right>
                <top style="thin">
                  <color theme="0"/>
                </top>
                <bottom style="thin">
                  <color theme="0"/>
                </bottom>
                <vertical/>
                <horizontal/>
              </border>
            </x14:dxf>
          </x14:cfRule>
          <xm:sqref>X80:Y80</xm:sqref>
        </x14:conditionalFormatting>
        <x14:conditionalFormatting xmlns:xm="http://schemas.microsoft.com/office/excel/2006/main">
          <x14:cfRule type="expression" priority="3019" id="{1791F121-F855-4494-9F94-201AF776DAE3}">
            <xm:f>$S$8='Assessment Details'!$Q$23</xm:f>
            <x14:dxf>
              <font>
                <color theme="0"/>
              </font>
              <fill>
                <patternFill>
                  <bgColor theme="0"/>
                </patternFill>
              </fill>
              <border>
                <vertical/>
                <horizontal/>
              </border>
            </x14:dxf>
          </x14:cfRule>
          <xm:sqref>Q83:R83</xm:sqref>
        </x14:conditionalFormatting>
        <x14:conditionalFormatting xmlns:xm="http://schemas.microsoft.com/office/excel/2006/main">
          <x14:cfRule type="expression" priority="3018" id="{B3789350-608D-4237-90EF-4E4A0C1BFF10}">
            <xm:f>$S$8='Assessment Details'!$Q$23</xm:f>
            <x14:dxf>
              <border>
                <left style="thin">
                  <color theme="0"/>
                </left>
                <right style="thin">
                  <color theme="0"/>
                </right>
                <top style="thin">
                  <color theme="0"/>
                </top>
                <bottom style="thin">
                  <color theme="0"/>
                </bottom>
                <vertical/>
                <horizontal/>
              </border>
            </x14:dxf>
          </x14:cfRule>
          <xm:sqref>Q83:R83</xm:sqref>
        </x14:conditionalFormatting>
        <x14:conditionalFormatting xmlns:xm="http://schemas.microsoft.com/office/excel/2006/main">
          <x14:cfRule type="expression" priority="3017" id="{F3181B58-DA0D-4CF9-9972-76A8DCE0A3D7}">
            <xm:f>$Z$8='Assessment Details'!$Q$23</xm:f>
            <x14:dxf>
              <font>
                <color theme="0"/>
              </font>
              <fill>
                <patternFill>
                  <bgColor theme="0"/>
                </patternFill>
              </fill>
            </x14:dxf>
          </x14:cfRule>
          <xm:sqref>X83:Y83</xm:sqref>
        </x14:conditionalFormatting>
        <x14:conditionalFormatting xmlns:xm="http://schemas.microsoft.com/office/excel/2006/main">
          <x14:cfRule type="expression" priority="3016" id="{46DB8F0B-5298-45B1-98F7-C31874355151}">
            <xm:f>$Z$8='Assessment Details'!$Q$23</xm:f>
            <x14:dxf>
              <border>
                <left style="thin">
                  <color theme="0"/>
                </left>
                <right style="thin">
                  <color theme="0"/>
                </right>
                <top style="thin">
                  <color theme="0"/>
                </top>
                <bottom style="thin">
                  <color theme="0"/>
                </bottom>
                <vertical/>
                <horizontal/>
              </border>
            </x14:dxf>
          </x14:cfRule>
          <xm:sqref>X83:Y83</xm:sqref>
        </x14:conditionalFormatting>
        <x14:conditionalFormatting xmlns:xm="http://schemas.microsoft.com/office/excel/2006/main">
          <x14:cfRule type="expression" priority="2997" id="{F952D6D0-8EF4-4150-B3DA-A068385BB65C}">
            <xm:f>$S$8='Assessment Details'!$Q$23</xm:f>
            <x14:dxf>
              <font>
                <color theme="0"/>
              </font>
              <fill>
                <patternFill>
                  <bgColor theme="0"/>
                </patternFill>
              </fill>
              <border>
                <vertical/>
                <horizontal/>
              </border>
            </x14:dxf>
          </x14:cfRule>
          <xm:sqref>Q87:R87</xm:sqref>
        </x14:conditionalFormatting>
        <x14:conditionalFormatting xmlns:xm="http://schemas.microsoft.com/office/excel/2006/main">
          <x14:cfRule type="expression" priority="2996" id="{287A3A72-DEEE-4118-9033-6C383B62C6E2}">
            <xm:f>$S$8='Assessment Details'!$Q$23</xm:f>
            <x14:dxf>
              <border>
                <left style="thin">
                  <color theme="0"/>
                </left>
                <right style="thin">
                  <color theme="0"/>
                </right>
                <top style="thin">
                  <color theme="0"/>
                </top>
                <bottom style="thin">
                  <color theme="0"/>
                </bottom>
                <vertical/>
                <horizontal/>
              </border>
            </x14:dxf>
          </x14:cfRule>
          <xm:sqref>Q87:R87</xm:sqref>
        </x14:conditionalFormatting>
        <x14:conditionalFormatting xmlns:xm="http://schemas.microsoft.com/office/excel/2006/main">
          <x14:cfRule type="expression" priority="2995" id="{DEB80DAB-C395-4829-BA97-C8638C1E32C0}">
            <xm:f>$Z$8='Assessment Details'!$Q$23</xm:f>
            <x14:dxf>
              <font>
                <color theme="0"/>
              </font>
              <fill>
                <patternFill>
                  <bgColor theme="0"/>
                </patternFill>
              </fill>
            </x14:dxf>
          </x14:cfRule>
          <xm:sqref>X87:Y87</xm:sqref>
        </x14:conditionalFormatting>
        <x14:conditionalFormatting xmlns:xm="http://schemas.microsoft.com/office/excel/2006/main">
          <x14:cfRule type="expression" priority="2994" id="{F4B7C9CF-0F1F-4DA8-A30D-E53E19BC3410}">
            <xm:f>$Z$8='Assessment Details'!$Q$23</xm:f>
            <x14:dxf>
              <border>
                <left style="thin">
                  <color theme="0"/>
                </left>
                <right style="thin">
                  <color theme="0"/>
                </right>
                <top style="thin">
                  <color theme="0"/>
                </top>
                <bottom style="thin">
                  <color theme="0"/>
                </bottom>
                <vertical/>
                <horizontal/>
              </border>
            </x14:dxf>
          </x14:cfRule>
          <xm:sqref>X87:Y87</xm:sqref>
        </x14:conditionalFormatting>
        <x14:conditionalFormatting xmlns:xm="http://schemas.microsoft.com/office/excel/2006/main">
          <x14:cfRule type="expression" priority="2975" id="{961D8DA4-5850-4767-83A9-6460C9102A92}">
            <xm:f>$S$8='Assessment Details'!$Q$23</xm:f>
            <x14:dxf>
              <font>
                <color theme="0"/>
              </font>
              <fill>
                <patternFill>
                  <bgColor theme="0"/>
                </patternFill>
              </fill>
              <border>
                <vertical/>
                <horizontal/>
              </border>
            </x14:dxf>
          </x14:cfRule>
          <xm:sqref>Q90:R90</xm:sqref>
        </x14:conditionalFormatting>
        <x14:conditionalFormatting xmlns:xm="http://schemas.microsoft.com/office/excel/2006/main">
          <x14:cfRule type="expression" priority="2974" id="{4E4153D7-585D-4229-8AF6-15FFFA5E89ED}">
            <xm:f>$S$8='Assessment Details'!$Q$23</xm:f>
            <x14:dxf>
              <border>
                <left style="thin">
                  <color theme="0"/>
                </left>
                <right style="thin">
                  <color theme="0"/>
                </right>
                <top style="thin">
                  <color theme="0"/>
                </top>
                <bottom style="thin">
                  <color theme="0"/>
                </bottom>
                <vertical/>
                <horizontal/>
              </border>
            </x14:dxf>
          </x14:cfRule>
          <xm:sqref>Q90:R90</xm:sqref>
        </x14:conditionalFormatting>
        <x14:conditionalFormatting xmlns:xm="http://schemas.microsoft.com/office/excel/2006/main">
          <x14:cfRule type="expression" priority="2973" id="{546945FE-789B-4145-91AB-89AB7F5B7887}">
            <xm:f>$Z$8='Assessment Details'!$Q$23</xm:f>
            <x14:dxf>
              <font>
                <color theme="0"/>
              </font>
              <fill>
                <patternFill>
                  <bgColor theme="0"/>
                </patternFill>
              </fill>
            </x14:dxf>
          </x14:cfRule>
          <xm:sqref>X90:Y90</xm:sqref>
        </x14:conditionalFormatting>
        <x14:conditionalFormatting xmlns:xm="http://schemas.microsoft.com/office/excel/2006/main">
          <x14:cfRule type="expression" priority="2972" id="{3C90248F-3001-4846-8D99-4366E9FD0587}">
            <xm:f>$Z$8='Assessment Details'!$Q$23</xm:f>
            <x14:dxf>
              <border>
                <left style="thin">
                  <color theme="0"/>
                </left>
                <right style="thin">
                  <color theme="0"/>
                </right>
                <top style="thin">
                  <color theme="0"/>
                </top>
                <bottom style="thin">
                  <color theme="0"/>
                </bottom>
                <vertical/>
                <horizontal/>
              </border>
            </x14:dxf>
          </x14:cfRule>
          <xm:sqref>X90:Y90</xm:sqref>
        </x14:conditionalFormatting>
        <x14:conditionalFormatting xmlns:xm="http://schemas.microsoft.com/office/excel/2006/main">
          <x14:cfRule type="expression" priority="2953" id="{D62D12F7-91F5-4C33-B2F6-02E9E34F189B}">
            <xm:f>$S$8='Assessment Details'!$Q$23</xm:f>
            <x14:dxf>
              <font>
                <color theme="0"/>
              </font>
              <fill>
                <patternFill>
                  <bgColor theme="0"/>
                </patternFill>
              </fill>
              <border>
                <vertical/>
                <horizontal/>
              </border>
            </x14:dxf>
          </x14:cfRule>
          <xm:sqref>Q98:R98</xm:sqref>
        </x14:conditionalFormatting>
        <x14:conditionalFormatting xmlns:xm="http://schemas.microsoft.com/office/excel/2006/main">
          <x14:cfRule type="expression" priority="2952" id="{B31BD4B4-2ACB-4A6B-863D-A1CF793D99E5}">
            <xm:f>$S$8='Assessment Details'!$Q$23</xm:f>
            <x14:dxf>
              <border>
                <left style="thin">
                  <color theme="0"/>
                </left>
                <right style="thin">
                  <color theme="0"/>
                </right>
                <top style="thin">
                  <color theme="0"/>
                </top>
                <bottom style="thin">
                  <color theme="0"/>
                </bottom>
                <vertical/>
                <horizontal/>
              </border>
            </x14:dxf>
          </x14:cfRule>
          <xm:sqref>Q98:R98</xm:sqref>
        </x14:conditionalFormatting>
        <x14:conditionalFormatting xmlns:xm="http://schemas.microsoft.com/office/excel/2006/main">
          <x14:cfRule type="expression" priority="2951" id="{E35249D8-77AB-42D0-82D4-DF7512C38CE8}">
            <xm:f>$Z$8='Assessment Details'!$Q$23</xm:f>
            <x14:dxf>
              <font>
                <color theme="0"/>
              </font>
              <fill>
                <patternFill>
                  <bgColor theme="0"/>
                </patternFill>
              </fill>
            </x14:dxf>
          </x14:cfRule>
          <xm:sqref>X98:Y98</xm:sqref>
        </x14:conditionalFormatting>
        <x14:conditionalFormatting xmlns:xm="http://schemas.microsoft.com/office/excel/2006/main">
          <x14:cfRule type="expression" priority="2950" id="{8EBB8AC1-F587-4556-B14B-72E07A621945}">
            <xm:f>$Z$8='Assessment Details'!$Q$23</xm:f>
            <x14:dxf>
              <border>
                <left style="thin">
                  <color theme="0"/>
                </left>
                <right style="thin">
                  <color theme="0"/>
                </right>
                <top style="thin">
                  <color theme="0"/>
                </top>
                <bottom style="thin">
                  <color theme="0"/>
                </bottom>
                <vertical/>
                <horizontal/>
              </border>
            </x14:dxf>
          </x14:cfRule>
          <xm:sqref>X98:Y98</xm:sqref>
        </x14:conditionalFormatting>
        <x14:conditionalFormatting xmlns:xm="http://schemas.microsoft.com/office/excel/2006/main">
          <x14:cfRule type="expression" priority="2931" id="{36786943-CE38-4D1B-AD09-4CA0C9B83C65}">
            <xm:f>$S$8='Assessment Details'!$Q$23</xm:f>
            <x14:dxf>
              <font>
                <color theme="0"/>
              </font>
              <fill>
                <patternFill>
                  <bgColor theme="0"/>
                </patternFill>
              </fill>
              <border>
                <vertical/>
                <horizontal/>
              </border>
            </x14:dxf>
          </x14:cfRule>
          <xm:sqref>Q107:R107</xm:sqref>
        </x14:conditionalFormatting>
        <x14:conditionalFormatting xmlns:xm="http://schemas.microsoft.com/office/excel/2006/main">
          <x14:cfRule type="expression" priority="2930" id="{AFC0D760-90E6-45F2-B9D7-328784BF02BA}">
            <xm:f>$S$8='Assessment Details'!$Q$23</xm:f>
            <x14:dxf>
              <border>
                <left style="thin">
                  <color theme="0"/>
                </left>
                <right style="thin">
                  <color theme="0"/>
                </right>
                <top style="thin">
                  <color theme="0"/>
                </top>
                <bottom style="thin">
                  <color theme="0"/>
                </bottom>
                <vertical/>
                <horizontal/>
              </border>
            </x14:dxf>
          </x14:cfRule>
          <xm:sqref>Q107:R107</xm:sqref>
        </x14:conditionalFormatting>
        <x14:conditionalFormatting xmlns:xm="http://schemas.microsoft.com/office/excel/2006/main">
          <x14:cfRule type="expression" priority="2929" id="{417D4DDA-A392-4808-B513-CC41C7E21EF1}">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2928" id="{C42CCBBD-8473-41D6-95BB-8D5DABA8313A}">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2909" id="{5B061993-778C-4B5B-86B1-6227066F6059}">
            <xm:f>$S$8='Assessment Details'!$Q$23</xm:f>
            <x14:dxf>
              <font>
                <color theme="0"/>
              </font>
              <fill>
                <patternFill>
                  <bgColor theme="0"/>
                </patternFill>
              </fill>
              <border>
                <vertical/>
                <horizontal/>
              </border>
            </x14:dxf>
          </x14:cfRule>
          <xm:sqref>Q109:R109</xm:sqref>
        </x14:conditionalFormatting>
        <x14:conditionalFormatting xmlns:xm="http://schemas.microsoft.com/office/excel/2006/main">
          <x14:cfRule type="expression" priority="2908" id="{03AC920A-5094-4B58-B6DA-BC1BAF981E69}">
            <xm:f>$S$8='Assessment Details'!$Q$23</xm:f>
            <x14:dxf>
              <border>
                <left style="thin">
                  <color theme="0"/>
                </left>
                <right style="thin">
                  <color theme="0"/>
                </right>
                <top style="thin">
                  <color theme="0"/>
                </top>
                <bottom style="thin">
                  <color theme="0"/>
                </bottom>
                <vertical/>
                <horizontal/>
              </border>
            </x14:dxf>
          </x14:cfRule>
          <xm:sqref>Q109:R109</xm:sqref>
        </x14:conditionalFormatting>
        <x14:conditionalFormatting xmlns:xm="http://schemas.microsoft.com/office/excel/2006/main">
          <x14:cfRule type="expression" priority="2907" id="{28EFAC08-546E-46CE-832C-FB1076BB4F5D}">
            <xm:f>$Z$8='Assessment Details'!$Q$23</xm:f>
            <x14:dxf>
              <font>
                <color theme="0"/>
              </font>
              <fill>
                <patternFill>
                  <bgColor theme="0"/>
                </patternFill>
              </fill>
            </x14:dxf>
          </x14:cfRule>
          <xm:sqref>X109:Y109</xm:sqref>
        </x14:conditionalFormatting>
        <x14:conditionalFormatting xmlns:xm="http://schemas.microsoft.com/office/excel/2006/main">
          <x14:cfRule type="expression" priority="2906" id="{6921AAE6-76F9-4635-9185-D50BABC080A9}">
            <xm:f>$Z$8='Assessment Details'!$Q$23</xm:f>
            <x14:dxf>
              <border>
                <left style="thin">
                  <color theme="0"/>
                </left>
                <right style="thin">
                  <color theme="0"/>
                </right>
                <top style="thin">
                  <color theme="0"/>
                </top>
                <bottom style="thin">
                  <color theme="0"/>
                </bottom>
                <vertical/>
                <horizontal/>
              </border>
            </x14:dxf>
          </x14:cfRule>
          <xm:sqref>X109:Y109</xm:sqref>
        </x14:conditionalFormatting>
        <x14:conditionalFormatting xmlns:xm="http://schemas.microsoft.com/office/excel/2006/main">
          <x14:cfRule type="expression" priority="2887" id="{D1134714-5ACA-428C-A7C1-04B0913D0057}">
            <xm:f>$S$8='Assessment Details'!$Q$23</xm:f>
            <x14:dxf>
              <font>
                <color theme="0"/>
              </font>
              <fill>
                <patternFill>
                  <bgColor theme="0"/>
                </patternFill>
              </fill>
              <border>
                <vertical/>
                <horizontal/>
              </border>
            </x14:dxf>
          </x14:cfRule>
          <xm:sqref>Q113:R113</xm:sqref>
        </x14:conditionalFormatting>
        <x14:conditionalFormatting xmlns:xm="http://schemas.microsoft.com/office/excel/2006/main">
          <x14:cfRule type="expression" priority="2886" id="{F6F43CAC-D378-472D-8061-FC179388F2A7}">
            <xm:f>$S$8='Assessment Details'!$Q$23</xm:f>
            <x14:dxf>
              <border>
                <left style="thin">
                  <color theme="0"/>
                </left>
                <right style="thin">
                  <color theme="0"/>
                </right>
                <top style="thin">
                  <color theme="0"/>
                </top>
                <bottom style="thin">
                  <color theme="0"/>
                </bottom>
                <vertical/>
                <horizontal/>
              </border>
            </x14:dxf>
          </x14:cfRule>
          <xm:sqref>Q113:R113</xm:sqref>
        </x14:conditionalFormatting>
        <x14:conditionalFormatting xmlns:xm="http://schemas.microsoft.com/office/excel/2006/main">
          <x14:cfRule type="expression" priority="2885" id="{FDA50E11-EB75-4207-BF37-71373B3B9DC8}">
            <xm:f>$Z$8='Assessment Details'!$Q$23</xm:f>
            <x14:dxf>
              <font>
                <color theme="0"/>
              </font>
              <fill>
                <patternFill>
                  <bgColor theme="0"/>
                </patternFill>
              </fill>
            </x14:dxf>
          </x14:cfRule>
          <xm:sqref>X113:Y113</xm:sqref>
        </x14:conditionalFormatting>
        <x14:conditionalFormatting xmlns:xm="http://schemas.microsoft.com/office/excel/2006/main">
          <x14:cfRule type="expression" priority="2884" id="{A7D32BE1-2414-4DC6-9E2E-B77DE8BB00BF}">
            <xm:f>$Z$8='Assessment Details'!$Q$23</xm:f>
            <x14:dxf>
              <border>
                <left style="thin">
                  <color theme="0"/>
                </left>
                <right style="thin">
                  <color theme="0"/>
                </right>
                <top style="thin">
                  <color theme="0"/>
                </top>
                <bottom style="thin">
                  <color theme="0"/>
                </bottom>
                <vertical/>
                <horizontal/>
              </border>
            </x14:dxf>
          </x14:cfRule>
          <xm:sqref>X113:Y113</xm:sqref>
        </x14:conditionalFormatting>
        <x14:conditionalFormatting xmlns:xm="http://schemas.microsoft.com/office/excel/2006/main">
          <x14:cfRule type="expression" priority="2863" id="{F824AB40-DF9B-4943-B19D-4D606A266650}">
            <xm:f>$Z$8='Assessment Details'!$Q$23</xm:f>
            <x14:dxf>
              <font>
                <color theme="0"/>
              </font>
              <fill>
                <patternFill>
                  <bgColor theme="0"/>
                </patternFill>
              </fill>
            </x14:dxf>
          </x14:cfRule>
          <xm:sqref>X122:Y122</xm:sqref>
        </x14:conditionalFormatting>
        <x14:conditionalFormatting xmlns:xm="http://schemas.microsoft.com/office/excel/2006/main">
          <x14:cfRule type="expression" priority="2862" id="{5AE4887A-853F-4A8D-9AC2-B7EBECF7FA58}">
            <xm:f>$Z$8='Assessment Details'!$Q$23</xm:f>
            <x14:dxf>
              <border>
                <left style="thin">
                  <color theme="0"/>
                </left>
                <right style="thin">
                  <color theme="0"/>
                </right>
                <top style="thin">
                  <color theme="0"/>
                </top>
                <bottom style="thin">
                  <color theme="0"/>
                </bottom>
                <vertical/>
                <horizontal/>
              </border>
            </x14:dxf>
          </x14:cfRule>
          <xm:sqref>X122:Y122</xm:sqref>
        </x14:conditionalFormatting>
        <x14:conditionalFormatting xmlns:xm="http://schemas.microsoft.com/office/excel/2006/main">
          <x14:cfRule type="expression" priority="2843" id="{B890570A-82E1-4E0D-A346-6FDDE8DEC1D0}">
            <xm:f>$S$8='Assessment Details'!$Q$23</xm:f>
            <x14:dxf>
              <font>
                <color theme="0"/>
              </font>
              <fill>
                <patternFill>
                  <bgColor theme="0"/>
                </patternFill>
              </fill>
              <border>
                <vertical/>
                <horizontal/>
              </border>
            </x14:dxf>
          </x14:cfRule>
          <xm:sqref>Q126:R126</xm:sqref>
        </x14:conditionalFormatting>
        <x14:conditionalFormatting xmlns:xm="http://schemas.microsoft.com/office/excel/2006/main">
          <x14:cfRule type="expression" priority="2842" id="{A84F30D9-9159-4D9B-A6D6-AB0A728D0FD9}">
            <xm:f>$S$8='Assessment Details'!$Q$23</xm:f>
            <x14:dxf>
              <border>
                <left style="thin">
                  <color theme="0"/>
                </left>
                <right style="thin">
                  <color theme="0"/>
                </right>
                <top style="thin">
                  <color theme="0"/>
                </top>
                <bottom style="thin">
                  <color theme="0"/>
                </bottom>
                <vertical/>
                <horizontal/>
              </border>
            </x14:dxf>
          </x14:cfRule>
          <xm:sqref>Q126:R126</xm:sqref>
        </x14:conditionalFormatting>
        <x14:conditionalFormatting xmlns:xm="http://schemas.microsoft.com/office/excel/2006/main">
          <x14:cfRule type="expression" priority="2841" id="{B373805C-9A92-487B-90FA-EA75D65B2312}">
            <xm:f>$Z$8='Assessment Details'!$Q$23</xm:f>
            <x14:dxf>
              <font>
                <color theme="0"/>
              </font>
              <fill>
                <patternFill>
                  <bgColor theme="0"/>
                </patternFill>
              </fill>
            </x14:dxf>
          </x14:cfRule>
          <xm:sqref>X126:Y126</xm:sqref>
        </x14:conditionalFormatting>
        <x14:conditionalFormatting xmlns:xm="http://schemas.microsoft.com/office/excel/2006/main">
          <x14:cfRule type="expression" priority="2840" id="{6DC4115D-2A4E-4993-AEE3-BC74E9358AE1}">
            <xm:f>$Z$8='Assessment Details'!$Q$23</xm:f>
            <x14:dxf>
              <border>
                <left style="thin">
                  <color theme="0"/>
                </left>
                <right style="thin">
                  <color theme="0"/>
                </right>
                <top style="thin">
                  <color theme="0"/>
                </top>
                <bottom style="thin">
                  <color theme="0"/>
                </bottom>
                <vertical/>
                <horizontal/>
              </border>
            </x14:dxf>
          </x14:cfRule>
          <xm:sqref>X126:Y126</xm:sqref>
        </x14:conditionalFormatting>
        <x14:conditionalFormatting xmlns:xm="http://schemas.microsoft.com/office/excel/2006/main">
          <x14:cfRule type="expression" priority="2821" id="{5B1D4D43-C3DD-4D2B-9A6A-F6209B1558D7}">
            <xm:f>$S$8='Assessment Details'!$Q$23</xm:f>
            <x14:dxf>
              <font>
                <color theme="0"/>
              </font>
              <fill>
                <patternFill>
                  <bgColor theme="0"/>
                </patternFill>
              </fill>
              <border>
                <vertical/>
                <horizontal/>
              </border>
            </x14:dxf>
          </x14:cfRule>
          <xm:sqref>Q130:R130</xm:sqref>
        </x14:conditionalFormatting>
        <x14:conditionalFormatting xmlns:xm="http://schemas.microsoft.com/office/excel/2006/main">
          <x14:cfRule type="expression" priority="2820" id="{C36D7400-7718-4831-B0EF-1BE7F85A803C}">
            <xm:f>$S$8='Assessment Details'!$Q$23</xm:f>
            <x14:dxf>
              <border>
                <left style="thin">
                  <color theme="0"/>
                </left>
                <right style="thin">
                  <color theme="0"/>
                </right>
                <top style="thin">
                  <color theme="0"/>
                </top>
                <bottom style="thin">
                  <color theme="0"/>
                </bottom>
                <vertical/>
                <horizontal/>
              </border>
            </x14:dxf>
          </x14:cfRule>
          <xm:sqref>Q130:R130</xm:sqref>
        </x14:conditionalFormatting>
        <x14:conditionalFormatting xmlns:xm="http://schemas.microsoft.com/office/excel/2006/main">
          <x14:cfRule type="expression" priority="2819" id="{D814B427-0B43-45E3-9FE3-C6F9C171A0A8}">
            <xm:f>$Z$8='Assessment Details'!$Q$23</xm:f>
            <x14:dxf>
              <font>
                <color theme="0"/>
              </font>
              <fill>
                <patternFill>
                  <bgColor theme="0"/>
                </patternFill>
              </fill>
            </x14:dxf>
          </x14:cfRule>
          <xm:sqref>X130:Y130</xm:sqref>
        </x14:conditionalFormatting>
        <x14:conditionalFormatting xmlns:xm="http://schemas.microsoft.com/office/excel/2006/main">
          <x14:cfRule type="expression" priority="2818" id="{AD74782E-F818-4E93-9877-66CD49FD1A9D}">
            <xm:f>$Z$8='Assessment Details'!$Q$23</xm:f>
            <x14:dxf>
              <border>
                <left style="thin">
                  <color theme="0"/>
                </left>
                <right style="thin">
                  <color theme="0"/>
                </right>
                <top style="thin">
                  <color theme="0"/>
                </top>
                <bottom style="thin">
                  <color theme="0"/>
                </bottom>
                <vertical/>
                <horizontal/>
              </border>
            </x14:dxf>
          </x14:cfRule>
          <xm:sqref>X130:Y130</xm:sqref>
        </x14:conditionalFormatting>
        <x14:conditionalFormatting xmlns:xm="http://schemas.microsoft.com/office/excel/2006/main">
          <x14:cfRule type="expression" priority="2799" id="{BC298DA3-0041-4003-A615-CD4D3EEDB4B6}">
            <xm:f>$S$8='Assessment Details'!$Q$23</xm:f>
            <x14:dxf>
              <font>
                <color theme="0"/>
              </font>
              <fill>
                <patternFill>
                  <bgColor theme="0"/>
                </patternFill>
              </fill>
              <border>
                <vertical/>
                <horizontal/>
              </border>
            </x14:dxf>
          </x14:cfRule>
          <xm:sqref>Q136:R136</xm:sqref>
        </x14:conditionalFormatting>
        <x14:conditionalFormatting xmlns:xm="http://schemas.microsoft.com/office/excel/2006/main">
          <x14:cfRule type="expression" priority="2798" id="{3E63224B-5F70-4FC7-A1D0-C81E47FBAF20}">
            <xm:f>$S$8='Assessment Details'!$Q$23</xm:f>
            <x14:dxf>
              <border>
                <left style="thin">
                  <color theme="0"/>
                </left>
                <right style="thin">
                  <color theme="0"/>
                </right>
                <top style="thin">
                  <color theme="0"/>
                </top>
                <bottom style="thin">
                  <color theme="0"/>
                </bottom>
                <vertical/>
                <horizontal/>
              </border>
            </x14:dxf>
          </x14:cfRule>
          <xm:sqref>Q136:R136</xm:sqref>
        </x14:conditionalFormatting>
        <x14:conditionalFormatting xmlns:xm="http://schemas.microsoft.com/office/excel/2006/main">
          <x14:cfRule type="expression" priority="2797" id="{854B2689-4B93-4F46-880E-26136D1313FF}">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2796" id="{FCDA394D-E604-49EE-BC6B-CBA163DD9F4F}">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2777" id="{93E5126A-40F2-49DB-A53F-8972F416241F}">
            <xm:f>$S$8='Assessment Details'!$Q$23</xm:f>
            <x14:dxf>
              <font>
                <color theme="0"/>
              </font>
              <fill>
                <patternFill>
                  <bgColor theme="0"/>
                </patternFill>
              </fill>
              <border>
                <vertical/>
                <horizontal/>
              </border>
            </x14:dxf>
          </x14:cfRule>
          <xm:sqref>Q141:R141</xm:sqref>
        </x14:conditionalFormatting>
        <x14:conditionalFormatting xmlns:xm="http://schemas.microsoft.com/office/excel/2006/main">
          <x14:cfRule type="expression" priority="2776" id="{FC11078C-CDB7-42EA-92FE-8C46E699C37D}">
            <xm:f>$S$8='Assessment Details'!$Q$23</xm:f>
            <x14:dxf>
              <border>
                <left style="thin">
                  <color theme="0"/>
                </left>
                <right style="thin">
                  <color theme="0"/>
                </right>
                <top style="thin">
                  <color theme="0"/>
                </top>
                <bottom style="thin">
                  <color theme="0"/>
                </bottom>
                <vertical/>
                <horizontal/>
              </border>
            </x14:dxf>
          </x14:cfRule>
          <xm:sqref>Q141:R141</xm:sqref>
        </x14:conditionalFormatting>
        <x14:conditionalFormatting xmlns:xm="http://schemas.microsoft.com/office/excel/2006/main">
          <x14:cfRule type="expression" priority="2775" id="{67B61D2D-2974-491A-9C65-BCD655ABDB99}">
            <xm:f>$Z$8='Assessment Details'!$Q$23</xm:f>
            <x14:dxf>
              <font>
                <color theme="0"/>
              </font>
              <fill>
                <patternFill>
                  <bgColor theme="0"/>
                </patternFill>
              </fill>
            </x14:dxf>
          </x14:cfRule>
          <xm:sqref>X141:Y141</xm:sqref>
        </x14:conditionalFormatting>
        <x14:conditionalFormatting xmlns:xm="http://schemas.microsoft.com/office/excel/2006/main">
          <x14:cfRule type="expression" priority="2774" id="{377885CD-D487-4C27-B56A-50673BAAB469}">
            <xm:f>$Z$8='Assessment Details'!$Q$23</xm:f>
            <x14:dxf>
              <border>
                <left style="thin">
                  <color theme="0"/>
                </left>
                <right style="thin">
                  <color theme="0"/>
                </right>
                <top style="thin">
                  <color theme="0"/>
                </top>
                <bottom style="thin">
                  <color theme="0"/>
                </bottom>
                <vertical/>
                <horizontal/>
              </border>
            </x14:dxf>
          </x14:cfRule>
          <xm:sqref>X141:Y141</xm:sqref>
        </x14:conditionalFormatting>
        <x14:conditionalFormatting xmlns:xm="http://schemas.microsoft.com/office/excel/2006/main">
          <x14:cfRule type="expression" priority="2755" id="{0EBD06D7-B286-47FC-BCEB-7DE0EBE21459}">
            <xm:f>$S$8='Assessment Details'!$Q$23</xm:f>
            <x14:dxf>
              <font>
                <color theme="0"/>
              </font>
              <fill>
                <patternFill>
                  <bgColor theme="0"/>
                </patternFill>
              </fill>
              <border>
                <vertical/>
                <horizontal/>
              </border>
            </x14:dxf>
          </x14:cfRule>
          <xm:sqref>Q154:R154</xm:sqref>
        </x14:conditionalFormatting>
        <x14:conditionalFormatting xmlns:xm="http://schemas.microsoft.com/office/excel/2006/main">
          <x14:cfRule type="expression" priority="2754" id="{4A947A86-3930-4E01-91A9-88AAA98761F4}">
            <xm:f>$S$8='Assessment Details'!$Q$23</xm:f>
            <x14:dxf>
              <border>
                <left style="thin">
                  <color theme="0"/>
                </left>
                <right style="thin">
                  <color theme="0"/>
                </right>
                <top style="thin">
                  <color theme="0"/>
                </top>
                <bottom style="thin">
                  <color theme="0"/>
                </bottom>
                <vertical/>
                <horizontal/>
              </border>
            </x14:dxf>
          </x14:cfRule>
          <xm:sqref>Q154:R154</xm:sqref>
        </x14:conditionalFormatting>
        <x14:conditionalFormatting xmlns:xm="http://schemas.microsoft.com/office/excel/2006/main">
          <x14:cfRule type="expression" priority="2753" id="{CE9D4D00-9F28-4C90-BFDC-AF0BB4878934}">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2752" id="{9F7F0A66-7030-4DBA-914D-44DAE2A50D67}">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2733" id="{C699121D-3149-497E-A3AB-E5903A92AE07}">
            <xm:f>$S$8='Assessment Details'!$Q$23</xm:f>
            <x14:dxf>
              <font>
                <color theme="0"/>
              </font>
              <fill>
                <patternFill>
                  <bgColor theme="0"/>
                </patternFill>
              </fill>
              <border>
                <vertical/>
                <horizontal/>
              </border>
            </x14:dxf>
          </x14:cfRule>
          <xm:sqref>Q156:R156</xm:sqref>
        </x14:conditionalFormatting>
        <x14:conditionalFormatting xmlns:xm="http://schemas.microsoft.com/office/excel/2006/main">
          <x14:cfRule type="expression" priority="2732" id="{401463BB-30CD-45BB-8394-CDB65C151285}">
            <xm:f>$S$8='Assessment Details'!$Q$23</xm:f>
            <x14:dxf>
              <border>
                <left style="thin">
                  <color theme="0"/>
                </left>
                <right style="thin">
                  <color theme="0"/>
                </right>
                <top style="thin">
                  <color theme="0"/>
                </top>
                <bottom style="thin">
                  <color theme="0"/>
                </bottom>
                <vertical/>
                <horizontal/>
              </border>
            </x14:dxf>
          </x14:cfRule>
          <xm:sqref>Q156:R156</xm:sqref>
        </x14:conditionalFormatting>
        <x14:conditionalFormatting xmlns:xm="http://schemas.microsoft.com/office/excel/2006/main">
          <x14:cfRule type="expression" priority="2731" id="{438AA3BA-C3CF-426C-B4DE-E5D8AB3405FA}">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2730" id="{E2AC534E-4298-4E4C-AA35-BFF073C12C54}">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2711" id="{58EA91C2-F4B4-4BCD-A5AC-E3CB8D00696E}">
            <xm:f>$S$8='Assessment Details'!$Q$23</xm:f>
            <x14:dxf>
              <font>
                <color theme="0"/>
              </font>
              <fill>
                <patternFill>
                  <bgColor theme="0"/>
                </patternFill>
              </fill>
              <border>
                <vertical/>
                <horizontal/>
              </border>
            </x14:dxf>
          </x14:cfRule>
          <xm:sqref>Q158:R158</xm:sqref>
        </x14:conditionalFormatting>
        <x14:conditionalFormatting xmlns:xm="http://schemas.microsoft.com/office/excel/2006/main">
          <x14:cfRule type="expression" priority="2710" id="{D6696C5C-DACD-4563-9702-21A1ADF72218}">
            <xm:f>$S$8='Assessment Details'!$Q$23</xm:f>
            <x14:dxf>
              <border>
                <left style="thin">
                  <color theme="0"/>
                </left>
                <right style="thin">
                  <color theme="0"/>
                </right>
                <top style="thin">
                  <color theme="0"/>
                </top>
                <bottom style="thin">
                  <color theme="0"/>
                </bottom>
                <vertical/>
                <horizontal/>
              </border>
            </x14:dxf>
          </x14:cfRule>
          <xm:sqref>Q158:R158</xm:sqref>
        </x14:conditionalFormatting>
        <x14:conditionalFormatting xmlns:xm="http://schemas.microsoft.com/office/excel/2006/main">
          <x14:cfRule type="expression" priority="2709" id="{0A624E6F-D2F5-466B-AE49-70D18C402F62}">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2708" id="{D2605DE7-EB0B-41EE-9545-33B6F3D412FE}">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2689" id="{5085BEE2-F280-4D62-BA43-B519A5B40CF4}">
            <xm:f>$S$8='Assessment Details'!$Q$23</xm:f>
            <x14:dxf>
              <font>
                <color theme="0"/>
              </font>
              <fill>
                <patternFill>
                  <bgColor theme="0"/>
                </patternFill>
              </fill>
              <border>
                <vertical/>
                <horizontal/>
              </border>
            </x14:dxf>
          </x14:cfRule>
          <xm:sqref>Q166:R166</xm:sqref>
        </x14:conditionalFormatting>
        <x14:conditionalFormatting xmlns:xm="http://schemas.microsoft.com/office/excel/2006/main">
          <x14:cfRule type="expression" priority="2688" id="{79EB9484-1E31-4C0F-ADDB-0CFCD9441EE2}">
            <xm:f>$S$8='Assessment Details'!$Q$23</xm:f>
            <x14:dxf>
              <border>
                <left style="thin">
                  <color theme="0"/>
                </left>
                <right style="thin">
                  <color theme="0"/>
                </right>
                <top style="thin">
                  <color theme="0"/>
                </top>
                <bottom style="thin">
                  <color theme="0"/>
                </bottom>
                <vertical/>
                <horizontal/>
              </border>
            </x14:dxf>
          </x14:cfRule>
          <xm:sqref>Q166:R166</xm:sqref>
        </x14:conditionalFormatting>
        <x14:conditionalFormatting xmlns:xm="http://schemas.microsoft.com/office/excel/2006/main">
          <x14:cfRule type="expression" priority="2687" id="{5D79AE54-4DC9-4DCA-884C-42876EAB53E2}">
            <xm:f>$Z$8='Assessment Details'!$Q$23</xm:f>
            <x14:dxf>
              <font>
                <color theme="0"/>
              </font>
              <fill>
                <patternFill>
                  <bgColor theme="0"/>
                </patternFill>
              </fill>
            </x14:dxf>
          </x14:cfRule>
          <xm:sqref>X166:Y166</xm:sqref>
        </x14:conditionalFormatting>
        <x14:conditionalFormatting xmlns:xm="http://schemas.microsoft.com/office/excel/2006/main">
          <x14:cfRule type="expression" priority="2686" id="{642EF19E-4E9F-444D-BBE2-E38D5C87ADE9}">
            <xm:f>$Z$8='Assessment Details'!$Q$23</xm:f>
            <x14:dxf>
              <border>
                <left style="thin">
                  <color theme="0"/>
                </left>
                <right style="thin">
                  <color theme="0"/>
                </right>
                <top style="thin">
                  <color theme="0"/>
                </top>
                <bottom style="thin">
                  <color theme="0"/>
                </bottom>
                <vertical/>
                <horizontal/>
              </border>
            </x14:dxf>
          </x14:cfRule>
          <xm:sqref>X166:Y166</xm:sqref>
        </x14:conditionalFormatting>
        <x14:conditionalFormatting xmlns:xm="http://schemas.microsoft.com/office/excel/2006/main">
          <x14:cfRule type="expression" priority="2667" id="{DE222025-3144-4E99-8DE8-CC9624D26BAD}">
            <xm:f>$S$8='Assessment Details'!$Q$23</xm:f>
            <x14:dxf>
              <font>
                <color theme="0"/>
              </font>
              <fill>
                <patternFill>
                  <bgColor theme="0"/>
                </patternFill>
              </fill>
              <border>
                <vertical/>
                <horizontal/>
              </border>
            </x14:dxf>
          </x14:cfRule>
          <xm:sqref>Q170:R171</xm:sqref>
        </x14:conditionalFormatting>
        <x14:conditionalFormatting xmlns:xm="http://schemas.microsoft.com/office/excel/2006/main">
          <x14:cfRule type="expression" priority="2666" id="{86289F27-85BD-4061-BB4F-ADFE71F58198}">
            <xm:f>$S$8='Assessment Details'!$Q$23</xm:f>
            <x14:dxf>
              <border>
                <left style="thin">
                  <color theme="0"/>
                </left>
                <right style="thin">
                  <color theme="0"/>
                </right>
                <top style="thin">
                  <color theme="0"/>
                </top>
                <bottom style="thin">
                  <color theme="0"/>
                </bottom>
                <vertical/>
                <horizontal/>
              </border>
            </x14:dxf>
          </x14:cfRule>
          <xm:sqref>Q170:R171</xm:sqref>
        </x14:conditionalFormatting>
        <x14:conditionalFormatting xmlns:xm="http://schemas.microsoft.com/office/excel/2006/main">
          <x14:cfRule type="expression" priority="2665" id="{F6BF0F31-291D-4A06-82A1-79D9EE908212}">
            <xm:f>$Z$8='Assessment Details'!$Q$23</xm:f>
            <x14:dxf>
              <font>
                <color theme="0"/>
              </font>
              <fill>
                <patternFill>
                  <bgColor theme="0"/>
                </patternFill>
              </fill>
            </x14:dxf>
          </x14:cfRule>
          <xm:sqref>X170:Y171</xm:sqref>
        </x14:conditionalFormatting>
        <x14:conditionalFormatting xmlns:xm="http://schemas.microsoft.com/office/excel/2006/main">
          <x14:cfRule type="expression" priority="2664" id="{A92F8E34-C6A8-4C61-8472-430C9B307BDD}">
            <xm:f>$Z$8='Assessment Details'!$Q$23</xm:f>
            <x14:dxf>
              <border>
                <left style="thin">
                  <color theme="0"/>
                </left>
                <right style="thin">
                  <color theme="0"/>
                </right>
                <top style="thin">
                  <color theme="0"/>
                </top>
                <bottom style="thin">
                  <color theme="0"/>
                </bottom>
                <vertical/>
                <horizontal/>
              </border>
            </x14:dxf>
          </x14:cfRule>
          <xm:sqref>X170:Y171</xm:sqref>
        </x14:conditionalFormatting>
        <x14:conditionalFormatting xmlns:xm="http://schemas.microsoft.com/office/excel/2006/main">
          <x14:cfRule type="expression" priority="2645" id="{03F5AC57-CEE1-4E27-BDCA-705C92F9C04A}">
            <xm:f>$S$8='Assessment Details'!$Q$23</xm:f>
            <x14:dxf>
              <font>
                <color theme="0"/>
              </font>
              <fill>
                <patternFill>
                  <bgColor theme="0"/>
                </patternFill>
              </fill>
              <border>
                <vertical/>
                <horizontal/>
              </border>
            </x14:dxf>
          </x14:cfRule>
          <xm:sqref>Q174:R174</xm:sqref>
        </x14:conditionalFormatting>
        <x14:conditionalFormatting xmlns:xm="http://schemas.microsoft.com/office/excel/2006/main">
          <x14:cfRule type="expression" priority="2644" id="{24796940-0E34-4F8C-B9C3-C0BD5B9D2DE9}">
            <xm:f>$S$8='Assessment Details'!$Q$23</xm:f>
            <x14:dxf>
              <border>
                <left style="thin">
                  <color theme="0"/>
                </left>
                <right style="thin">
                  <color theme="0"/>
                </right>
                <top style="thin">
                  <color theme="0"/>
                </top>
                <bottom style="thin">
                  <color theme="0"/>
                </bottom>
                <vertical/>
                <horizontal/>
              </border>
            </x14:dxf>
          </x14:cfRule>
          <xm:sqref>Q174:R174</xm:sqref>
        </x14:conditionalFormatting>
        <x14:conditionalFormatting xmlns:xm="http://schemas.microsoft.com/office/excel/2006/main">
          <x14:cfRule type="expression" priority="2643" id="{3ACC2B89-684A-484D-B203-D284673DE8A7}">
            <xm:f>$Z$8='Assessment Details'!$Q$23</xm:f>
            <x14:dxf>
              <font>
                <color theme="0"/>
              </font>
              <fill>
                <patternFill>
                  <bgColor theme="0"/>
                </patternFill>
              </fill>
            </x14:dxf>
          </x14:cfRule>
          <xm:sqref>X174:Y174</xm:sqref>
        </x14:conditionalFormatting>
        <x14:conditionalFormatting xmlns:xm="http://schemas.microsoft.com/office/excel/2006/main">
          <x14:cfRule type="expression" priority="2642" id="{D473DCAE-7B09-4CAA-B8DC-5EF1853C823C}">
            <xm:f>$Z$8='Assessment Details'!$Q$23</xm:f>
            <x14:dxf>
              <border>
                <left style="thin">
                  <color theme="0"/>
                </left>
                <right style="thin">
                  <color theme="0"/>
                </right>
                <top style="thin">
                  <color theme="0"/>
                </top>
                <bottom style="thin">
                  <color theme="0"/>
                </bottom>
                <vertical/>
                <horizontal/>
              </border>
            </x14:dxf>
          </x14:cfRule>
          <xm:sqref>X174:Y174</xm:sqref>
        </x14:conditionalFormatting>
        <x14:conditionalFormatting xmlns:xm="http://schemas.microsoft.com/office/excel/2006/main">
          <x14:cfRule type="expression" priority="2623" id="{BB47B5EE-B404-4459-A9DC-7A8F921C40F1}">
            <xm:f>$S$8='Assessment Details'!$Q$23</xm:f>
            <x14:dxf>
              <font>
                <color theme="0"/>
              </font>
              <fill>
                <patternFill>
                  <bgColor theme="0"/>
                </patternFill>
              </fill>
              <border>
                <vertical/>
                <horizontal/>
              </border>
            </x14:dxf>
          </x14:cfRule>
          <xm:sqref>Q178:R178</xm:sqref>
        </x14:conditionalFormatting>
        <x14:conditionalFormatting xmlns:xm="http://schemas.microsoft.com/office/excel/2006/main">
          <x14:cfRule type="expression" priority="2622" id="{1AE651B5-4783-41FA-8F61-2B060157B0C2}">
            <xm:f>$S$8='Assessment Details'!$Q$23</xm:f>
            <x14:dxf>
              <border>
                <left style="thin">
                  <color theme="0"/>
                </left>
                <right style="thin">
                  <color theme="0"/>
                </right>
                <top style="thin">
                  <color theme="0"/>
                </top>
                <bottom style="thin">
                  <color theme="0"/>
                </bottom>
                <vertical/>
                <horizontal/>
              </border>
            </x14:dxf>
          </x14:cfRule>
          <xm:sqref>Q178:R178</xm:sqref>
        </x14:conditionalFormatting>
        <x14:conditionalFormatting xmlns:xm="http://schemas.microsoft.com/office/excel/2006/main">
          <x14:cfRule type="expression" priority="2621" id="{DED99014-4D9C-439F-9304-06140F0CD019}">
            <xm:f>$Z$8='Assessment Details'!$Q$23</xm:f>
            <x14:dxf>
              <font>
                <color theme="0"/>
              </font>
              <fill>
                <patternFill>
                  <bgColor theme="0"/>
                </patternFill>
              </fill>
            </x14:dxf>
          </x14:cfRule>
          <xm:sqref>X178:Y178</xm:sqref>
        </x14:conditionalFormatting>
        <x14:conditionalFormatting xmlns:xm="http://schemas.microsoft.com/office/excel/2006/main">
          <x14:cfRule type="expression" priority="2620" id="{13C7E632-2E9A-469D-944E-F005BDAA0175}">
            <xm:f>$Z$8='Assessment Details'!$Q$23</xm:f>
            <x14:dxf>
              <border>
                <left style="thin">
                  <color theme="0"/>
                </left>
                <right style="thin">
                  <color theme="0"/>
                </right>
                <top style="thin">
                  <color theme="0"/>
                </top>
                <bottom style="thin">
                  <color theme="0"/>
                </bottom>
                <vertical/>
                <horizontal/>
              </border>
            </x14:dxf>
          </x14:cfRule>
          <xm:sqref>X178:Y178</xm:sqref>
        </x14:conditionalFormatting>
        <x14:conditionalFormatting xmlns:xm="http://schemas.microsoft.com/office/excel/2006/main">
          <x14:cfRule type="expression" priority="2601" id="{FF3D70A3-E2F0-4011-AF6E-88CB2A9F4AB2}">
            <xm:f>$S$8='Assessment Details'!$Q$23</xm:f>
            <x14:dxf>
              <font>
                <color theme="0"/>
              </font>
              <fill>
                <patternFill>
                  <bgColor theme="0"/>
                </patternFill>
              </fill>
              <border>
                <vertical/>
                <horizontal/>
              </border>
            </x14:dxf>
          </x14:cfRule>
          <xm:sqref>Q182:R182</xm:sqref>
        </x14:conditionalFormatting>
        <x14:conditionalFormatting xmlns:xm="http://schemas.microsoft.com/office/excel/2006/main">
          <x14:cfRule type="expression" priority="2600" id="{0AE6CF74-4BA9-4FC0-8C0E-F1B16B0742DE}">
            <xm:f>$S$8='Assessment Details'!$Q$23</xm:f>
            <x14:dxf>
              <border>
                <left style="thin">
                  <color theme="0"/>
                </left>
                <right style="thin">
                  <color theme="0"/>
                </right>
                <top style="thin">
                  <color theme="0"/>
                </top>
                <bottom style="thin">
                  <color theme="0"/>
                </bottom>
                <vertical/>
                <horizontal/>
              </border>
            </x14:dxf>
          </x14:cfRule>
          <xm:sqref>Q182:R182</xm:sqref>
        </x14:conditionalFormatting>
        <x14:conditionalFormatting xmlns:xm="http://schemas.microsoft.com/office/excel/2006/main">
          <x14:cfRule type="expression" priority="2599" id="{3D558B44-BBCE-494B-81ED-AB3925E6A5DA}">
            <xm:f>$Z$8='Assessment Details'!$Q$23</xm:f>
            <x14:dxf>
              <font>
                <color theme="0"/>
              </font>
              <fill>
                <patternFill>
                  <bgColor theme="0"/>
                </patternFill>
              </fill>
            </x14:dxf>
          </x14:cfRule>
          <xm:sqref>X182:Y182</xm:sqref>
        </x14:conditionalFormatting>
        <x14:conditionalFormatting xmlns:xm="http://schemas.microsoft.com/office/excel/2006/main">
          <x14:cfRule type="expression" priority="2598" id="{84D843F5-91B5-42FA-A026-5431C2C7E947}">
            <xm:f>$Z$8='Assessment Details'!$Q$23</xm:f>
            <x14:dxf>
              <border>
                <left style="thin">
                  <color theme="0"/>
                </left>
                <right style="thin">
                  <color theme="0"/>
                </right>
                <top style="thin">
                  <color theme="0"/>
                </top>
                <bottom style="thin">
                  <color theme="0"/>
                </bottom>
                <vertical/>
                <horizontal/>
              </border>
            </x14:dxf>
          </x14:cfRule>
          <xm:sqref>X182:Y182</xm:sqref>
        </x14:conditionalFormatting>
        <x14:conditionalFormatting xmlns:xm="http://schemas.microsoft.com/office/excel/2006/main">
          <x14:cfRule type="expression" priority="2579" id="{A5C32B32-ED52-48B4-9A25-BD04F4A1AB84}">
            <xm:f>$S$8='Assessment Details'!$Q$23</xm:f>
            <x14:dxf>
              <font>
                <color theme="0"/>
              </font>
              <fill>
                <patternFill>
                  <bgColor theme="0"/>
                </patternFill>
              </fill>
              <border>
                <vertical/>
                <horizontal/>
              </border>
            </x14:dxf>
          </x14:cfRule>
          <xm:sqref>Q184:R184</xm:sqref>
        </x14:conditionalFormatting>
        <x14:conditionalFormatting xmlns:xm="http://schemas.microsoft.com/office/excel/2006/main">
          <x14:cfRule type="expression" priority="2578" id="{D0ABD19C-8EA4-4E11-9305-339EFFA32B58}">
            <xm:f>$S$8='Assessment Details'!$Q$23</xm:f>
            <x14:dxf>
              <border>
                <left style="thin">
                  <color theme="0"/>
                </left>
                <right style="thin">
                  <color theme="0"/>
                </right>
                <top style="thin">
                  <color theme="0"/>
                </top>
                <bottom style="thin">
                  <color theme="0"/>
                </bottom>
                <vertical/>
                <horizontal/>
              </border>
            </x14:dxf>
          </x14:cfRule>
          <xm:sqref>Q184:R184</xm:sqref>
        </x14:conditionalFormatting>
        <x14:conditionalFormatting xmlns:xm="http://schemas.microsoft.com/office/excel/2006/main">
          <x14:cfRule type="expression" priority="2577" id="{BA58B041-1F21-4BB2-8FF2-1A88031ECC97}">
            <xm:f>$Z$8='Assessment Details'!$Q$23</xm:f>
            <x14:dxf>
              <font>
                <color theme="0"/>
              </font>
              <fill>
                <patternFill>
                  <bgColor theme="0"/>
                </patternFill>
              </fill>
            </x14:dxf>
          </x14:cfRule>
          <xm:sqref>X184:Y184</xm:sqref>
        </x14:conditionalFormatting>
        <x14:conditionalFormatting xmlns:xm="http://schemas.microsoft.com/office/excel/2006/main">
          <x14:cfRule type="expression" priority="2576" id="{FFD8CAF1-C0B2-45CA-86ED-DA08BCA48491}">
            <xm:f>$Z$8='Assessment Details'!$Q$23</xm:f>
            <x14:dxf>
              <border>
                <left style="thin">
                  <color theme="0"/>
                </left>
                <right style="thin">
                  <color theme="0"/>
                </right>
                <top style="thin">
                  <color theme="0"/>
                </top>
                <bottom style="thin">
                  <color theme="0"/>
                </bottom>
                <vertical/>
                <horizontal/>
              </border>
            </x14:dxf>
          </x14:cfRule>
          <xm:sqref>X184:Y184</xm:sqref>
        </x14:conditionalFormatting>
        <x14:conditionalFormatting xmlns:xm="http://schemas.microsoft.com/office/excel/2006/main">
          <x14:cfRule type="expression" priority="2557" id="{A5CBEBC7-91C4-4779-A03E-ED4532776B98}">
            <xm:f>$S$8='Assessment Details'!$Q$23</xm:f>
            <x14:dxf>
              <font>
                <color theme="0"/>
              </font>
              <fill>
                <patternFill>
                  <bgColor theme="0"/>
                </patternFill>
              </fill>
              <border>
                <vertical/>
                <horizontal/>
              </border>
            </x14:dxf>
          </x14:cfRule>
          <xm:sqref>Q187:R187</xm:sqref>
        </x14:conditionalFormatting>
        <x14:conditionalFormatting xmlns:xm="http://schemas.microsoft.com/office/excel/2006/main">
          <x14:cfRule type="expression" priority="2556" id="{7FC9FA78-CB01-4454-ACDB-92F5DA583170}">
            <xm:f>$S$8='Assessment Details'!$Q$23</xm:f>
            <x14:dxf>
              <border>
                <left style="thin">
                  <color theme="0"/>
                </left>
                <right style="thin">
                  <color theme="0"/>
                </right>
                <top style="thin">
                  <color theme="0"/>
                </top>
                <bottom style="thin">
                  <color theme="0"/>
                </bottom>
                <vertical/>
                <horizontal/>
              </border>
            </x14:dxf>
          </x14:cfRule>
          <xm:sqref>Q187:R187</xm:sqref>
        </x14:conditionalFormatting>
        <x14:conditionalFormatting xmlns:xm="http://schemas.microsoft.com/office/excel/2006/main">
          <x14:cfRule type="expression" priority="2555" id="{82F3A0CF-3445-445E-8A01-3FAB2A216AD4}">
            <xm:f>$Z$8='Assessment Details'!$Q$23</xm:f>
            <x14:dxf>
              <font>
                <color theme="0"/>
              </font>
              <fill>
                <patternFill>
                  <bgColor theme="0"/>
                </patternFill>
              </fill>
            </x14:dxf>
          </x14:cfRule>
          <xm:sqref>X187:Y187</xm:sqref>
        </x14:conditionalFormatting>
        <x14:conditionalFormatting xmlns:xm="http://schemas.microsoft.com/office/excel/2006/main">
          <x14:cfRule type="expression" priority="2554" id="{2D0F7A81-CB6F-46F2-8FF4-B9BE8086BF64}">
            <xm:f>$Z$8='Assessment Details'!$Q$23</xm:f>
            <x14:dxf>
              <border>
                <left style="thin">
                  <color theme="0"/>
                </left>
                <right style="thin">
                  <color theme="0"/>
                </right>
                <top style="thin">
                  <color theme="0"/>
                </top>
                <bottom style="thin">
                  <color theme="0"/>
                </bottom>
                <vertical/>
                <horizontal/>
              </border>
            </x14:dxf>
          </x14:cfRule>
          <xm:sqref>X187:Y187</xm:sqref>
        </x14:conditionalFormatting>
        <x14:conditionalFormatting xmlns:xm="http://schemas.microsoft.com/office/excel/2006/main">
          <x14:cfRule type="expression" priority="2535" id="{37A99355-9BE5-4679-964D-6ED8844998FD}">
            <xm:f>$S$8='Assessment Details'!$Q$23</xm:f>
            <x14:dxf>
              <font>
                <color theme="0"/>
              </font>
              <fill>
                <patternFill>
                  <bgColor theme="0"/>
                </patternFill>
              </fill>
              <border>
                <vertical/>
                <horizontal/>
              </border>
            </x14:dxf>
          </x14:cfRule>
          <xm:sqref>Q200:R200</xm:sqref>
        </x14:conditionalFormatting>
        <x14:conditionalFormatting xmlns:xm="http://schemas.microsoft.com/office/excel/2006/main">
          <x14:cfRule type="expression" priority="2534" id="{5B05A962-0B31-42C0-A29B-4FBC9AAFC702}">
            <xm:f>$S$8='Assessment Details'!$Q$23</xm:f>
            <x14:dxf>
              <border>
                <left style="thin">
                  <color theme="0"/>
                </left>
                <right style="thin">
                  <color theme="0"/>
                </right>
                <top style="thin">
                  <color theme="0"/>
                </top>
                <bottom style="thin">
                  <color theme="0"/>
                </bottom>
                <vertical/>
                <horizontal/>
              </border>
            </x14:dxf>
          </x14:cfRule>
          <xm:sqref>Q200:R200</xm:sqref>
        </x14:conditionalFormatting>
        <x14:conditionalFormatting xmlns:xm="http://schemas.microsoft.com/office/excel/2006/main">
          <x14:cfRule type="expression" priority="2533" id="{9FC6A7DA-9094-46D8-A8FC-A8B87FCE7D2B}">
            <xm:f>$Z$8='Assessment Details'!$Q$23</xm:f>
            <x14:dxf>
              <font>
                <color theme="0"/>
              </font>
              <fill>
                <patternFill>
                  <bgColor theme="0"/>
                </patternFill>
              </fill>
            </x14:dxf>
          </x14:cfRule>
          <xm:sqref>X200:Y200</xm:sqref>
        </x14:conditionalFormatting>
        <x14:conditionalFormatting xmlns:xm="http://schemas.microsoft.com/office/excel/2006/main">
          <x14:cfRule type="expression" priority="2532" id="{8C4FD2FA-C583-4CB4-80D9-8386039D5546}">
            <xm:f>$Z$8='Assessment Details'!$Q$23</xm:f>
            <x14:dxf>
              <border>
                <left style="thin">
                  <color theme="0"/>
                </left>
                <right style="thin">
                  <color theme="0"/>
                </right>
                <top style="thin">
                  <color theme="0"/>
                </top>
                <bottom style="thin">
                  <color theme="0"/>
                </bottom>
                <vertical/>
                <horizontal/>
              </border>
            </x14:dxf>
          </x14:cfRule>
          <xm:sqref>X200:Y200</xm:sqref>
        </x14:conditionalFormatting>
        <x14:conditionalFormatting xmlns:xm="http://schemas.microsoft.com/office/excel/2006/main">
          <x14:cfRule type="expression" priority="2513" id="{D7D360FE-8CC6-4803-A70B-CAE7A8DA2370}">
            <xm:f>$S$8='Assessment Details'!$Q$23</xm:f>
            <x14:dxf>
              <font>
                <color theme="0"/>
              </font>
              <fill>
                <patternFill>
                  <bgColor theme="0"/>
                </patternFill>
              </fill>
              <border>
                <vertical/>
                <horizontal/>
              </border>
            </x14:dxf>
          </x14:cfRule>
          <xm:sqref>Q203:R203</xm:sqref>
        </x14:conditionalFormatting>
        <x14:conditionalFormatting xmlns:xm="http://schemas.microsoft.com/office/excel/2006/main">
          <x14:cfRule type="expression" priority="2512" id="{361DB25F-D381-4DF6-8113-61F256A63FFD}">
            <xm:f>$S$8='Assessment Details'!$Q$23</xm:f>
            <x14:dxf>
              <border>
                <left style="thin">
                  <color theme="0"/>
                </left>
                <right style="thin">
                  <color theme="0"/>
                </right>
                <top style="thin">
                  <color theme="0"/>
                </top>
                <bottom style="thin">
                  <color theme="0"/>
                </bottom>
                <vertical/>
                <horizontal/>
              </border>
            </x14:dxf>
          </x14:cfRule>
          <xm:sqref>Q203:R203</xm:sqref>
        </x14:conditionalFormatting>
        <x14:conditionalFormatting xmlns:xm="http://schemas.microsoft.com/office/excel/2006/main">
          <x14:cfRule type="expression" priority="2511" id="{BF477FE1-0C94-45FA-9C9F-B7BEAF49FE48}">
            <xm:f>$Z$8='Assessment Details'!$Q$23</xm:f>
            <x14:dxf>
              <font>
                <color theme="0"/>
              </font>
              <fill>
                <patternFill>
                  <bgColor theme="0"/>
                </patternFill>
              </fill>
            </x14:dxf>
          </x14:cfRule>
          <xm:sqref>X203:Y203</xm:sqref>
        </x14:conditionalFormatting>
        <x14:conditionalFormatting xmlns:xm="http://schemas.microsoft.com/office/excel/2006/main">
          <x14:cfRule type="expression" priority="2510" id="{29455680-3399-4AC2-930B-5F61D074ABBA}">
            <xm:f>$Z$8='Assessment Details'!$Q$23</xm:f>
            <x14:dxf>
              <border>
                <left style="thin">
                  <color theme="0"/>
                </left>
                <right style="thin">
                  <color theme="0"/>
                </right>
                <top style="thin">
                  <color theme="0"/>
                </top>
                <bottom style="thin">
                  <color theme="0"/>
                </bottom>
                <vertical/>
                <horizontal/>
              </border>
            </x14:dxf>
          </x14:cfRule>
          <xm:sqref>X203:Y203</xm:sqref>
        </x14:conditionalFormatting>
        <x14:conditionalFormatting xmlns:xm="http://schemas.microsoft.com/office/excel/2006/main">
          <x14:cfRule type="expression" priority="2491" id="{9BE0B12E-ED3A-4BF6-BE58-06E577076887}">
            <xm:f>$S$8='Assessment Details'!$Q$23</xm:f>
            <x14:dxf>
              <font>
                <color theme="0"/>
              </font>
              <fill>
                <patternFill>
                  <bgColor theme="0"/>
                </patternFill>
              </fill>
              <border>
                <vertical/>
                <horizontal/>
              </border>
            </x14:dxf>
          </x14:cfRule>
          <xm:sqref>Q206:R206</xm:sqref>
        </x14:conditionalFormatting>
        <x14:conditionalFormatting xmlns:xm="http://schemas.microsoft.com/office/excel/2006/main">
          <x14:cfRule type="expression" priority="2490" id="{FB75C1DC-7F57-4929-B090-7120F515DFFC}">
            <xm:f>$S$8='Assessment Details'!$Q$23</xm:f>
            <x14:dxf>
              <border>
                <left style="thin">
                  <color theme="0"/>
                </left>
                <right style="thin">
                  <color theme="0"/>
                </right>
                <top style="thin">
                  <color theme="0"/>
                </top>
                <bottom style="thin">
                  <color theme="0"/>
                </bottom>
                <vertical/>
                <horizontal/>
              </border>
            </x14:dxf>
          </x14:cfRule>
          <xm:sqref>Q206:R206</xm:sqref>
        </x14:conditionalFormatting>
        <x14:conditionalFormatting xmlns:xm="http://schemas.microsoft.com/office/excel/2006/main">
          <x14:cfRule type="expression" priority="2489" id="{F50A463C-BCEE-4AF7-9D93-BC2C3D84423D}">
            <xm:f>$Z$8='Assessment Details'!$Q$23</xm:f>
            <x14:dxf>
              <font>
                <color theme="0"/>
              </font>
              <fill>
                <patternFill>
                  <bgColor theme="0"/>
                </patternFill>
              </fill>
            </x14:dxf>
          </x14:cfRule>
          <xm:sqref>X206:Y206</xm:sqref>
        </x14:conditionalFormatting>
        <x14:conditionalFormatting xmlns:xm="http://schemas.microsoft.com/office/excel/2006/main">
          <x14:cfRule type="expression" priority="2488" id="{E36E2DF7-E9FC-496C-BC29-3B08CB152ACD}">
            <xm:f>$Z$8='Assessment Details'!$Q$23</xm:f>
            <x14:dxf>
              <border>
                <left style="thin">
                  <color theme="0"/>
                </left>
                <right style="thin">
                  <color theme="0"/>
                </right>
                <top style="thin">
                  <color theme="0"/>
                </top>
                <bottom style="thin">
                  <color theme="0"/>
                </bottom>
                <vertical/>
                <horizontal/>
              </border>
            </x14:dxf>
          </x14:cfRule>
          <xm:sqref>X206:Y206</xm:sqref>
        </x14:conditionalFormatting>
        <x14:conditionalFormatting xmlns:xm="http://schemas.microsoft.com/office/excel/2006/main">
          <x14:cfRule type="expression" priority="2468" id="{F520F275-AA21-4989-B9CF-E28CD6D94467}">
            <xm:f>$S$8='Assessment Details'!$Q$23</xm:f>
            <x14:dxf>
              <font>
                <color theme="0"/>
              </font>
              <fill>
                <patternFill>
                  <bgColor theme="0"/>
                </patternFill>
              </fill>
              <border>
                <vertical/>
                <horizontal/>
              </border>
            </x14:dxf>
          </x14:cfRule>
          <xm:sqref>N41:N45</xm:sqref>
        </x14:conditionalFormatting>
        <x14:conditionalFormatting xmlns:xm="http://schemas.microsoft.com/office/excel/2006/main">
          <x14:cfRule type="expression" priority="2467" id="{65297D8B-AB0B-4557-8CDD-F71008214F0F}">
            <xm:f>$S$8='Assessment Details'!$Q$23</xm:f>
            <x14:dxf>
              <border>
                <left style="thin">
                  <color theme="0"/>
                </left>
                <right style="thin">
                  <color theme="0"/>
                </right>
                <top style="thin">
                  <color theme="0"/>
                </top>
                <bottom style="thin">
                  <color theme="0"/>
                </bottom>
                <vertical/>
                <horizontal/>
              </border>
            </x14:dxf>
          </x14:cfRule>
          <xm:sqref>N41:N45</xm:sqref>
        </x14:conditionalFormatting>
        <x14:conditionalFormatting xmlns:xm="http://schemas.microsoft.com/office/excel/2006/main">
          <x14:cfRule type="expression" priority="2466" id="{23ED5DD3-EE5A-4EC2-BF98-B7CAB7F0ACE1}">
            <xm:f>$Z$8='Assessment Details'!$Q$23</xm:f>
            <x14:dxf>
              <font>
                <color theme="0"/>
              </font>
              <fill>
                <patternFill>
                  <bgColor theme="0"/>
                </patternFill>
              </fill>
            </x14:dxf>
          </x14:cfRule>
          <xm:sqref>X41:Y45</xm:sqref>
        </x14:conditionalFormatting>
        <x14:conditionalFormatting xmlns:xm="http://schemas.microsoft.com/office/excel/2006/main">
          <x14:cfRule type="expression" priority="2465" id="{538EEEBC-840F-45AA-BA3C-4E4C560A6E08}">
            <xm:f>$Z$8='Assessment Details'!$Q$23</xm:f>
            <x14:dxf>
              <border>
                <left style="thin">
                  <color theme="0"/>
                </left>
                <right style="thin">
                  <color theme="0"/>
                </right>
                <top style="thin">
                  <color theme="0"/>
                </top>
                <bottom style="thin">
                  <color theme="0"/>
                </bottom>
                <vertical/>
                <horizontal/>
              </border>
            </x14:dxf>
          </x14:cfRule>
          <xm:sqref>X41:Y45</xm:sqref>
        </x14:conditionalFormatting>
        <x14:conditionalFormatting xmlns:xm="http://schemas.microsoft.com/office/excel/2006/main">
          <x14:cfRule type="expression" priority="2451" id="{DC06FD4E-10F2-4831-BD36-17564073A566}">
            <xm:f>$Z$8='Assessment Details'!$Q$23</xm:f>
            <x14:dxf>
              <font>
                <color theme="0"/>
              </font>
              <fill>
                <patternFill>
                  <bgColor theme="0"/>
                </patternFill>
              </fill>
            </x14:dxf>
          </x14:cfRule>
          <xm:sqref>U41:U45</xm:sqref>
        </x14:conditionalFormatting>
        <x14:conditionalFormatting xmlns:xm="http://schemas.microsoft.com/office/excel/2006/main">
          <x14:cfRule type="expression" priority="2450" id="{0C676674-2813-4A1B-8AC3-2129F2E97D76}">
            <xm:f>$Z$8='Assessment Details'!$Q$23</xm:f>
            <x14:dxf>
              <border>
                <left style="thin">
                  <color theme="0"/>
                </left>
                <right style="thin">
                  <color theme="0"/>
                </right>
                <top style="thin">
                  <color theme="0"/>
                </top>
                <bottom style="thin">
                  <color theme="0"/>
                </bottom>
                <vertical/>
                <horizontal/>
              </border>
            </x14:dxf>
          </x14:cfRule>
          <xm:sqref>U41:U45</xm:sqref>
        </x14:conditionalFormatting>
        <x14:conditionalFormatting xmlns:xm="http://schemas.microsoft.com/office/excel/2006/main">
          <x14:cfRule type="expression" priority="2439" id="{EBA401F8-FFB6-48F9-A694-9CEBDB9352D6}">
            <xm:f>$S$8='Assessment Details'!$Q$23</xm:f>
            <x14:dxf>
              <font>
                <color theme="0"/>
              </font>
              <fill>
                <patternFill>
                  <bgColor theme="0"/>
                </patternFill>
              </fill>
              <border>
                <vertical/>
                <horizontal/>
              </border>
            </x14:dxf>
          </x14:cfRule>
          <xm:sqref>N47:N50</xm:sqref>
        </x14:conditionalFormatting>
        <x14:conditionalFormatting xmlns:xm="http://schemas.microsoft.com/office/excel/2006/main">
          <x14:cfRule type="expression" priority="2438" id="{D00DE627-09B7-4C4E-AD68-6B294F08EA63}">
            <xm:f>$S$8='Assessment Details'!$Q$23</xm:f>
            <x14:dxf>
              <border>
                <left style="thin">
                  <color theme="0"/>
                </left>
                <right style="thin">
                  <color theme="0"/>
                </right>
                <top style="thin">
                  <color theme="0"/>
                </top>
                <bottom style="thin">
                  <color theme="0"/>
                </bottom>
                <vertical/>
                <horizontal/>
              </border>
            </x14:dxf>
          </x14:cfRule>
          <xm:sqref>N47:N50</xm:sqref>
        </x14:conditionalFormatting>
        <x14:conditionalFormatting xmlns:xm="http://schemas.microsoft.com/office/excel/2006/main">
          <x14:cfRule type="expression" priority="2437" id="{211A9518-D0E4-47F3-8F21-84EE0D3E60EA}">
            <xm:f>$Z$8='Assessment Details'!$Q$23</xm:f>
            <x14:dxf>
              <font>
                <color theme="0"/>
              </font>
              <fill>
                <patternFill>
                  <bgColor theme="0"/>
                </patternFill>
              </fill>
            </x14:dxf>
          </x14:cfRule>
          <xm:sqref>X47:Y50</xm:sqref>
        </x14:conditionalFormatting>
        <x14:conditionalFormatting xmlns:xm="http://schemas.microsoft.com/office/excel/2006/main">
          <x14:cfRule type="expression" priority="2436" id="{6918EB0A-3099-4DCC-93AA-21F4F3C3ABD7}">
            <xm:f>$Z$8='Assessment Details'!$Q$23</xm:f>
            <x14:dxf>
              <border>
                <left style="thin">
                  <color theme="0"/>
                </left>
                <right style="thin">
                  <color theme="0"/>
                </right>
                <top style="thin">
                  <color theme="0"/>
                </top>
                <bottom style="thin">
                  <color theme="0"/>
                </bottom>
                <vertical/>
                <horizontal/>
              </border>
            </x14:dxf>
          </x14:cfRule>
          <xm:sqref>X47:Y50</xm:sqref>
        </x14:conditionalFormatting>
        <x14:conditionalFormatting xmlns:xm="http://schemas.microsoft.com/office/excel/2006/main">
          <x14:cfRule type="expression" priority="2422" id="{B16CC0B9-0CF9-4BC4-B50C-20280CD71DB9}">
            <xm:f>$Z$8='Assessment Details'!$Q$23</xm:f>
            <x14:dxf>
              <font>
                <color theme="0"/>
              </font>
              <fill>
                <patternFill>
                  <bgColor theme="0"/>
                </patternFill>
              </fill>
            </x14:dxf>
          </x14:cfRule>
          <xm:sqref>U47:U50</xm:sqref>
        </x14:conditionalFormatting>
        <x14:conditionalFormatting xmlns:xm="http://schemas.microsoft.com/office/excel/2006/main">
          <x14:cfRule type="expression" priority="2421" id="{D6211A4D-1F18-47FB-8C6F-B6B4E8C7276F}">
            <xm:f>$Z$8='Assessment Details'!$Q$23</xm:f>
            <x14:dxf>
              <border>
                <left style="thin">
                  <color theme="0"/>
                </left>
                <right style="thin">
                  <color theme="0"/>
                </right>
                <top style="thin">
                  <color theme="0"/>
                </top>
                <bottom style="thin">
                  <color theme="0"/>
                </bottom>
                <vertical/>
                <horizontal/>
              </border>
            </x14:dxf>
          </x14:cfRule>
          <xm:sqref>U47:U50</xm:sqref>
        </x14:conditionalFormatting>
        <x14:conditionalFormatting xmlns:xm="http://schemas.microsoft.com/office/excel/2006/main">
          <x14:cfRule type="expression" priority="2410" id="{8B61BCE3-BA8E-44F9-974F-CBAF2F4E9CCF}">
            <xm:f>$S$8='Assessment Details'!$Q$23</xm:f>
            <x14:dxf>
              <font>
                <color theme="0"/>
              </font>
              <fill>
                <patternFill>
                  <bgColor theme="0"/>
                </patternFill>
              </fill>
              <border>
                <vertical/>
                <horizontal/>
              </border>
            </x14:dxf>
          </x14:cfRule>
          <xm:sqref>N52:N54</xm:sqref>
        </x14:conditionalFormatting>
        <x14:conditionalFormatting xmlns:xm="http://schemas.microsoft.com/office/excel/2006/main">
          <x14:cfRule type="expression" priority="2409" id="{0F5C6E7F-3AB1-4804-B5B8-59509DC61890}">
            <xm:f>$S$8='Assessment Details'!$Q$23</xm:f>
            <x14:dxf>
              <border>
                <left style="thin">
                  <color theme="0"/>
                </left>
                <right style="thin">
                  <color theme="0"/>
                </right>
                <top style="thin">
                  <color theme="0"/>
                </top>
                <bottom style="thin">
                  <color theme="0"/>
                </bottom>
                <vertical/>
                <horizontal/>
              </border>
            </x14:dxf>
          </x14:cfRule>
          <xm:sqref>N52:N54</xm:sqref>
        </x14:conditionalFormatting>
        <x14:conditionalFormatting xmlns:xm="http://schemas.microsoft.com/office/excel/2006/main">
          <x14:cfRule type="expression" priority="2408" id="{8B35C785-D46D-4C2B-ABFE-E56AAFA48521}">
            <xm:f>$Z$8='Assessment Details'!$Q$23</xm:f>
            <x14:dxf>
              <font>
                <color theme="0"/>
              </font>
              <fill>
                <patternFill>
                  <bgColor theme="0"/>
                </patternFill>
              </fill>
            </x14:dxf>
          </x14:cfRule>
          <xm:sqref>X52:Y54</xm:sqref>
        </x14:conditionalFormatting>
        <x14:conditionalFormatting xmlns:xm="http://schemas.microsoft.com/office/excel/2006/main">
          <x14:cfRule type="expression" priority="2407" id="{CC6DD474-82D8-4E9E-BC65-751A09A84E39}">
            <xm:f>$Z$8='Assessment Details'!$Q$23</xm:f>
            <x14:dxf>
              <border>
                <left style="thin">
                  <color theme="0"/>
                </left>
                <right style="thin">
                  <color theme="0"/>
                </right>
                <top style="thin">
                  <color theme="0"/>
                </top>
                <bottom style="thin">
                  <color theme="0"/>
                </bottom>
                <vertical/>
                <horizontal/>
              </border>
            </x14:dxf>
          </x14:cfRule>
          <xm:sqref>X52:Y54</xm:sqref>
        </x14:conditionalFormatting>
        <x14:conditionalFormatting xmlns:xm="http://schemas.microsoft.com/office/excel/2006/main">
          <x14:cfRule type="expression" priority="2393" id="{C13CF83B-3E24-403D-ACE9-CB88E7959896}">
            <xm:f>$Z$8='Assessment Details'!$Q$23</xm:f>
            <x14:dxf>
              <font>
                <color theme="0"/>
              </font>
              <fill>
                <patternFill>
                  <bgColor theme="0"/>
                </patternFill>
              </fill>
            </x14:dxf>
          </x14:cfRule>
          <xm:sqref>U52:U54</xm:sqref>
        </x14:conditionalFormatting>
        <x14:conditionalFormatting xmlns:xm="http://schemas.microsoft.com/office/excel/2006/main">
          <x14:cfRule type="expression" priority="2392" id="{70213745-7607-4C38-B131-7AF5FAF240C3}">
            <xm:f>$Z$8='Assessment Details'!$Q$23</xm:f>
            <x14:dxf>
              <border>
                <left style="thin">
                  <color theme="0"/>
                </left>
                <right style="thin">
                  <color theme="0"/>
                </right>
                <top style="thin">
                  <color theme="0"/>
                </top>
                <bottom style="thin">
                  <color theme="0"/>
                </bottom>
                <vertical/>
                <horizontal/>
              </border>
            </x14:dxf>
          </x14:cfRule>
          <xm:sqref>U52:U54</xm:sqref>
        </x14:conditionalFormatting>
        <x14:conditionalFormatting xmlns:xm="http://schemas.microsoft.com/office/excel/2006/main">
          <x14:cfRule type="expression" priority="2381" id="{B5DB6A08-0F2F-4CF9-89FC-B055882590B1}">
            <xm:f>$S$8='Assessment Details'!$Q$23</xm:f>
            <x14:dxf>
              <font>
                <color theme="0"/>
              </font>
              <fill>
                <patternFill>
                  <bgColor theme="0"/>
                </patternFill>
              </fill>
              <border>
                <vertical/>
                <horizontal/>
              </border>
            </x14:dxf>
          </x14:cfRule>
          <xm:sqref>N57</xm:sqref>
        </x14:conditionalFormatting>
        <x14:conditionalFormatting xmlns:xm="http://schemas.microsoft.com/office/excel/2006/main">
          <x14:cfRule type="expression" priority="2380" id="{9A28F136-F590-4DC8-946D-8960E86C886D}">
            <xm:f>$S$8='Assessment Details'!$Q$23</xm:f>
            <x14:dxf>
              <border>
                <left style="thin">
                  <color theme="0"/>
                </left>
                <right style="thin">
                  <color theme="0"/>
                </right>
                <top style="thin">
                  <color theme="0"/>
                </top>
                <bottom style="thin">
                  <color theme="0"/>
                </bottom>
                <vertical/>
                <horizontal/>
              </border>
            </x14:dxf>
          </x14:cfRule>
          <xm:sqref>N57</xm:sqref>
        </x14:conditionalFormatting>
        <x14:conditionalFormatting xmlns:xm="http://schemas.microsoft.com/office/excel/2006/main">
          <x14:cfRule type="expression" priority="2379" id="{64B44649-B175-40BD-9BD2-E1C718700405}">
            <xm:f>$Z$8='Assessment Details'!$Q$23</xm:f>
            <x14:dxf>
              <font>
                <color theme="0"/>
              </font>
              <fill>
                <patternFill>
                  <bgColor theme="0"/>
                </patternFill>
              </fill>
            </x14:dxf>
          </x14:cfRule>
          <xm:sqref>X56:Y57</xm:sqref>
        </x14:conditionalFormatting>
        <x14:conditionalFormatting xmlns:xm="http://schemas.microsoft.com/office/excel/2006/main">
          <x14:cfRule type="expression" priority="2378" id="{3F4FB2A4-51EB-438B-BAF6-1061DECAB44F}">
            <xm:f>$Z$8='Assessment Details'!$Q$23</xm:f>
            <x14:dxf>
              <border>
                <left style="thin">
                  <color theme="0"/>
                </left>
                <right style="thin">
                  <color theme="0"/>
                </right>
                <top style="thin">
                  <color theme="0"/>
                </top>
                <bottom style="thin">
                  <color theme="0"/>
                </bottom>
                <vertical/>
                <horizontal/>
              </border>
            </x14:dxf>
          </x14:cfRule>
          <xm:sqref>X56:Y57</xm:sqref>
        </x14:conditionalFormatting>
        <x14:conditionalFormatting xmlns:xm="http://schemas.microsoft.com/office/excel/2006/main">
          <x14:cfRule type="expression" priority="2364" id="{CDE578B3-2556-425C-90AA-81F2B73F6BB0}">
            <xm:f>$Z$8='Assessment Details'!$Q$23</xm:f>
            <x14:dxf>
              <font>
                <color theme="0"/>
              </font>
              <fill>
                <patternFill>
                  <bgColor theme="0"/>
                </patternFill>
              </fill>
            </x14:dxf>
          </x14:cfRule>
          <xm:sqref>U57</xm:sqref>
        </x14:conditionalFormatting>
        <x14:conditionalFormatting xmlns:xm="http://schemas.microsoft.com/office/excel/2006/main">
          <x14:cfRule type="expression" priority="2363" id="{B626148C-4F2A-46AA-AA58-0463FA1A9A60}">
            <xm:f>$Z$8='Assessment Details'!$Q$23</xm:f>
            <x14:dxf>
              <border>
                <left style="thin">
                  <color theme="0"/>
                </left>
                <right style="thin">
                  <color theme="0"/>
                </right>
                <top style="thin">
                  <color theme="0"/>
                </top>
                <bottom style="thin">
                  <color theme="0"/>
                </bottom>
                <vertical/>
                <horizontal/>
              </border>
            </x14:dxf>
          </x14:cfRule>
          <xm:sqref>U57</xm:sqref>
        </x14:conditionalFormatting>
        <x14:conditionalFormatting xmlns:xm="http://schemas.microsoft.com/office/excel/2006/main">
          <x14:cfRule type="expression" priority="2352" id="{226059A5-5C88-467E-897B-4EDFB8224159}">
            <xm:f>$S$8='Assessment Details'!$Q$23</xm:f>
            <x14:dxf>
              <font>
                <color theme="0"/>
              </font>
              <fill>
                <patternFill>
                  <bgColor theme="0"/>
                </patternFill>
              </fill>
              <border>
                <vertical/>
                <horizontal/>
              </border>
            </x14:dxf>
          </x14:cfRule>
          <xm:sqref>N59:N60</xm:sqref>
        </x14:conditionalFormatting>
        <x14:conditionalFormatting xmlns:xm="http://schemas.microsoft.com/office/excel/2006/main">
          <x14:cfRule type="expression" priority="2351" id="{5CA0F889-AA6E-413C-AD94-C7EC10EAFCE5}">
            <xm:f>$S$8='Assessment Details'!$Q$23</xm:f>
            <x14:dxf>
              <border>
                <left style="thin">
                  <color theme="0"/>
                </left>
                <right style="thin">
                  <color theme="0"/>
                </right>
                <top style="thin">
                  <color theme="0"/>
                </top>
                <bottom style="thin">
                  <color theme="0"/>
                </bottom>
                <vertical/>
                <horizontal/>
              </border>
            </x14:dxf>
          </x14:cfRule>
          <xm:sqref>N59:N60</xm:sqref>
        </x14:conditionalFormatting>
        <x14:conditionalFormatting xmlns:xm="http://schemas.microsoft.com/office/excel/2006/main">
          <x14:cfRule type="expression" priority="2350" id="{8B989734-F8DF-4E16-BF6A-8BEAEADE2E3E}">
            <xm:f>$Z$8='Assessment Details'!$Q$23</xm:f>
            <x14:dxf>
              <font>
                <color theme="0"/>
              </font>
              <fill>
                <patternFill>
                  <bgColor theme="0"/>
                </patternFill>
              </fill>
            </x14:dxf>
          </x14:cfRule>
          <xm:sqref>X59:Y60</xm:sqref>
        </x14:conditionalFormatting>
        <x14:conditionalFormatting xmlns:xm="http://schemas.microsoft.com/office/excel/2006/main">
          <x14:cfRule type="expression" priority="2349" id="{BB590148-8C46-498A-874D-9FBDABE72BBD}">
            <xm:f>$Z$8='Assessment Details'!$Q$23</xm:f>
            <x14:dxf>
              <border>
                <left style="thin">
                  <color theme="0"/>
                </left>
                <right style="thin">
                  <color theme="0"/>
                </right>
                <top style="thin">
                  <color theme="0"/>
                </top>
                <bottom style="thin">
                  <color theme="0"/>
                </bottom>
                <vertical/>
                <horizontal/>
              </border>
            </x14:dxf>
          </x14:cfRule>
          <xm:sqref>X59:Y60</xm:sqref>
        </x14:conditionalFormatting>
        <x14:conditionalFormatting xmlns:xm="http://schemas.microsoft.com/office/excel/2006/main">
          <x14:cfRule type="expression" priority="2335" id="{CB71A114-E15F-4B34-82A8-A06476665063}">
            <xm:f>$Z$8='Assessment Details'!$Q$23</xm:f>
            <x14:dxf>
              <font>
                <color theme="0"/>
              </font>
              <fill>
                <patternFill>
                  <bgColor theme="0"/>
                </patternFill>
              </fill>
            </x14:dxf>
          </x14:cfRule>
          <xm:sqref>U59:U60</xm:sqref>
        </x14:conditionalFormatting>
        <x14:conditionalFormatting xmlns:xm="http://schemas.microsoft.com/office/excel/2006/main">
          <x14:cfRule type="expression" priority="2334" id="{DB3093EC-74C7-40E1-9C37-44C4FFABBAD7}">
            <xm:f>$Z$8='Assessment Details'!$Q$23</xm:f>
            <x14:dxf>
              <border>
                <left style="thin">
                  <color theme="0"/>
                </left>
                <right style="thin">
                  <color theme="0"/>
                </right>
                <top style="thin">
                  <color theme="0"/>
                </top>
                <bottom style="thin">
                  <color theme="0"/>
                </bottom>
                <vertical/>
                <horizontal/>
              </border>
            </x14:dxf>
          </x14:cfRule>
          <xm:sqref>U59:U60</xm:sqref>
        </x14:conditionalFormatting>
        <x14:conditionalFormatting xmlns:xm="http://schemas.microsoft.com/office/excel/2006/main">
          <x14:cfRule type="expression" priority="2323" id="{594E7B80-4F01-4A25-B75D-ED47E2CFAAC8}">
            <xm:f>$S$8='Assessment Details'!$Q$23</xm:f>
            <x14:dxf>
              <font>
                <color theme="0"/>
              </font>
              <fill>
                <patternFill>
                  <bgColor theme="0"/>
                </patternFill>
              </fill>
              <border>
                <vertical/>
                <horizontal/>
              </border>
            </x14:dxf>
          </x14:cfRule>
          <xm:sqref>N62</xm:sqref>
        </x14:conditionalFormatting>
        <x14:conditionalFormatting xmlns:xm="http://schemas.microsoft.com/office/excel/2006/main">
          <x14:cfRule type="expression" priority="2322" id="{B5708B9A-F16A-4B40-A4F5-F56F183612CF}">
            <xm:f>$S$8='Assessment Details'!$Q$23</xm:f>
            <x14:dxf>
              <border>
                <left style="thin">
                  <color theme="0"/>
                </left>
                <right style="thin">
                  <color theme="0"/>
                </right>
                <top style="thin">
                  <color theme="0"/>
                </top>
                <bottom style="thin">
                  <color theme="0"/>
                </bottom>
                <vertical/>
                <horizontal/>
              </border>
            </x14:dxf>
          </x14:cfRule>
          <xm:sqref>N62</xm:sqref>
        </x14:conditionalFormatting>
        <x14:conditionalFormatting xmlns:xm="http://schemas.microsoft.com/office/excel/2006/main">
          <x14:cfRule type="expression" priority="2321" id="{A4F5DEDE-ED55-4EA4-9A3D-3AE3E3BE1DDC}">
            <xm:f>$Z$8='Assessment Details'!$Q$23</xm:f>
            <x14:dxf>
              <font>
                <color theme="0"/>
              </font>
              <fill>
                <patternFill>
                  <bgColor theme="0"/>
                </patternFill>
              </fill>
            </x14:dxf>
          </x14:cfRule>
          <xm:sqref>X62:Y62</xm:sqref>
        </x14:conditionalFormatting>
        <x14:conditionalFormatting xmlns:xm="http://schemas.microsoft.com/office/excel/2006/main">
          <x14:cfRule type="expression" priority="2320" id="{69C51F84-D983-48EE-A07C-54B29FCA9113}">
            <xm:f>$Z$8='Assessment Details'!$Q$23</xm:f>
            <x14:dxf>
              <border>
                <left style="thin">
                  <color theme="0"/>
                </left>
                <right style="thin">
                  <color theme="0"/>
                </right>
                <top style="thin">
                  <color theme="0"/>
                </top>
                <bottom style="thin">
                  <color theme="0"/>
                </bottom>
                <vertical/>
                <horizontal/>
              </border>
            </x14:dxf>
          </x14:cfRule>
          <xm:sqref>X62:Y62</xm:sqref>
        </x14:conditionalFormatting>
        <x14:conditionalFormatting xmlns:xm="http://schemas.microsoft.com/office/excel/2006/main">
          <x14:cfRule type="expression" priority="2306" id="{F1A8FF8C-FE8F-4A32-93EB-787994E1183B}">
            <xm:f>$Z$8='Assessment Details'!$Q$23</xm:f>
            <x14:dxf>
              <font>
                <color theme="0"/>
              </font>
              <fill>
                <patternFill>
                  <bgColor theme="0"/>
                </patternFill>
              </fill>
            </x14:dxf>
          </x14:cfRule>
          <xm:sqref>U62</xm:sqref>
        </x14:conditionalFormatting>
        <x14:conditionalFormatting xmlns:xm="http://schemas.microsoft.com/office/excel/2006/main">
          <x14:cfRule type="expression" priority="2305" id="{1889BFD1-A62C-423B-AF97-D06672E00C4D}">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2277" id="{4789BFF2-D6D4-4288-B53F-B8FE41E469F3}">
            <xm:f>$Z$8='Assessment Details'!$Q$23</xm:f>
            <x14:dxf>
              <font>
                <color theme="0"/>
              </font>
              <fill>
                <patternFill>
                  <bgColor theme="0"/>
                </patternFill>
              </fill>
            </x14:dxf>
          </x14:cfRule>
          <xm:sqref>U67:U69 U71:U72</xm:sqref>
        </x14:conditionalFormatting>
        <x14:conditionalFormatting xmlns:xm="http://schemas.microsoft.com/office/excel/2006/main">
          <x14:cfRule type="expression" priority="2276" id="{24B4E335-84BD-46CE-8043-1B118D9235AD}">
            <xm:f>$Z$8='Assessment Details'!$Q$23</xm:f>
            <x14:dxf>
              <border>
                <left style="thin">
                  <color theme="0"/>
                </left>
                <right style="thin">
                  <color theme="0"/>
                </right>
                <top style="thin">
                  <color theme="0"/>
                </top>
                <bottom style="thin">
                  <color theme="0"/>
                </bottom>
                <vertical/>
                <horizontal/>
              </border>
            </x14:dxf>
          </x14:cfRule>
          <xm:sqref>U67:U69 U71:U72</xm:sqref>
        </x14:conditionalFormatting>
        <x14:conditionalFormatting xmlns:xm="http://schemas.microsoft.com/office/excel/2006/main">
          <x14:cfRule type="expression" priority="2265" id="{624BDA07-2E5A-4BB8-AB05-9D1324B44598}">
            <xm:f>$S$8='Assessment Details'!$Q$23</xm:f>
            <x14:dxf>
              <font>
                <color theme="0"/>
              </font>
              <fill>
                <patternFill>
                  <bgColor theme="0"/>
                </patternFill>
              </fill>
              <border>
                <vertical/>
                <horizontal/>
              </border>
            </x14:dxf>
          </x14:cfRule>
          <xm:sqref>N74:N76</xm:sqref>
        </x14:conditionalFormatting>
        <x14:conditionalFormatting xmlns:xm="http://schemas.microsoft.com/office/excel/2006/main">
          <x14:cfRule type="expression" priority="2264" id="{C8D83D7C-7FCA-43B9-8A56-98275D98F953}">
            <xm:f>$S$8='Assessment Details'!$Q$23</xm:f>
            <x14:dxf>
              <border>
                <left style="thin">
                  <color theme="0"/>
                </left>
                <right style="thin">
                  <color theme="0"/>
                </right>
                <top style="thin">
                  <color theme="0"/>
                </top>
                <bottom style="thin">
                  <color theme="0"/>
                </bottom>
                <vertical/>
                <horizontal/>
              </border>
            </x14:dxf>
          </x14:cfRule>
          <xm:sqref>N74:N76</xm:sqref>
        </x14:conditionalFormatting>
        <x14:conditionalFormatting xmlns:xm="http://schemas.microsoft.com/office/excel/2006/main">
          <x14:cfRule type="expression" priority="2263" id="{28293B8E-DE74-4681-8B37-3D015FF67550}">
            <xm:f>$Z$8='Assessment Details'!$Q$23</xm:f>
            <x14:dxf>
              <font>
                <color theme="0"/>
              </font>
              <fill>
                <patternFill>
                  <bgColor theme="0"/>
                </patternFill>
              </fill>
            </x14:dxf>
          </x14:cfRule>
          <xm:sqref>X74:Y76</xm:sqref>
        </x14:conditionalFormatting>
        <x14:conditionalFormatting xmlns:xm="http://schemas.microsoft.com/office/excel/2006/main">
          <x14:cfRule type="expression" priority="2262" id="{FA4E4398-1960-47C2-9636-EE189871FC34}">
            <xm:f>$Z$8='Assessment Details'!$Q$23</xm:f>
            <x14:dxf>
              <border>
                <left style="thin">
                  <color theme="0"/>
                </left>
                <right style="thin">
                  <color theme="0"/>
                </right>
                <top style="thin">
                  <color theme="0"/>
                </top>
                <bottom style="thin">
                  <color theme="0"/>
                </bottom>
                <vertical/>
                <horizontal/>
              </border>
            </x14:dxf>
          </x14:cfRule>
          <xm:sqref>X74:Y76</xm:sqref>
        </x14:conditionalFormatting>
        <x14:conditionalFormatting xmlns:xm="http://schemas.microsoft.com/office/excel/2006/main">
          <x14:cfRule type="expression" priority="2248" id="{AB0458F2-B50D-48A9-A136-B8142DE40861}">
            <xm:f>$Z$8='Assessment Details'!$Q$23</xm:f>
            <x14:dxf>
              <font>
                <color theme="0"/>
              </font>
              <fill>
                <patternFill>
                  <bgColor theme="0"/>
                </patternFill>
              </fill>
            </x14:dxf>
          </x14:cfRule>
          <xm:sqref>U74:U76</xm:sqref>
        </x14:conditionalFormatting>
        <x14:conditionalFormatting xmlns:xm="http://schemas.microsoft.com/office/excel/2006/main">
          <x14:cfRule type="expression" priority="2247" id="{04A59890-99BC-4105-8456-C1E9F7D31E91}">
            <xm:f>$Z$8='Assessment Details'!$Q$23</xm:f>
            <x14:dxf>
              <border>
                <left style="thin">
                  <color theme="0"/>
                </left>
                <right style="thin">
                  <color theme="0"/>
                </right>
                <top style="thin">
                  <color theme="0"/>
                </top>
                <bottom style="thin">
                  <color theme="0"/>
                </bottom>
                <vertical/>
                <horizontal/>
              </border>
            </x14:dxf>
          </x14:cfRule>
          <xm:sqref>U74:U76</xm:sqref>
        </x14:conditionalFormatting>
        <x14:conditionalFormatting xmlns:xm="http://schemas.microsoft.com/office/excel/2006/main">
          <x14:cfRule type="expression" priority="2236" id="{3AB8F301-5249-4A01-8980-347F6CBB67AA}">
            <xm:f>$S$8='Assessment Details'!$Q$23</xm:f>
            <x14:dxf>
              <font>
                <color theme="0"/>
              </font>
              <fill>
                <patternFill>
                  <bgColor theme="0"/>
                </patternFill>
              </fill>
              <border>
                <vertical/>
                <horizontal/>
              </border>
            </x14:dxf>
          </x14:cfRule>
          <xm:sqref>N78:N79</xm:sqref>
        </x14:conditionalFormatting>
        <x14:conditionalFormatting xmlns:xm="http://schemas.microsoft.com/office/excel/2006/main">
          <x14:cfRule type="expression" priority="2235" id="{AAF2E691-E93D-4F1C-9C1D-49345DC5D20C}">
            <xm:f>$S$8='Assessment Details'!$Q$23</xm:f>
            <x14:dxf>
              <border>
                <left style="thin">
                  <color theme="0"/>
                </left>
                <right style="thin">
                  <color theme="0"/>
                </right>
                <top style="thin">
                  <color theme="0"/>
                </top>
                <bottom style="thin">
                  <color theme="0"/>
                </bottom>
                <vertical/>
                <horizontal/>
              </border>
            </x14:dxf>
          </x14:cfRule>
          <xm:sqref>N78:N79</xm:sqref>
        </x14:conditionalFormatting>
        <x14:conditionalFormatting xmlns:xm="http://schemas.microsoft.com/office/excel/2006/main">
          <x14:cfRule type="expression" priority="2234" id="{7C89C613-2684-41DE-AA39-DB5B0E056B79}">
            <xm:f>$Z$8='Assessment Details'!$Q$23</xm:f>
            <x14:dxf>
              <font>
                <color theme="0"/>
              </font>
              <fill>
                <patternFill>
                  <bgColor theme="0"/>
                </patternFill>
              </fill>
            </x14:dxf>
          </x14:cfRule>
          <xm:sqref>X78:Y79</xm:sqref>
        </x14:conditionalFormatting>
        <x14:conditionalFormatting xmlns:xm="http://schemas.microsoft.com/office/excel/2006/main">
          <x14:cfRule type="expression" priority="2233" id="{4E547AEC-83C5-443E-A538-8262F36AD380}">
            <xm:f>$Z$8='Assessment Details'!$Q$23</xm:f>
            <x14:dxf>
              <border>
                <left style="thin">
                  <color theme="0"/>
                </left>
                <right style="thin">
                  <color theme="0"/>
                </right>
                <top style="thin">
                  <color theme="0"/>
                </top>
                <bottom style="thin">
                  <color theme="0"/>
                </bottom>
                <vertical/>
                <horizontal/>
              </border>
            </x14:dxf>
          </x14:cfRule>
          <xm:sqref>X78:Y79</xm:sqref>
        </x14:conditionalFormatting>
        <x14:conditionalFormatting xmlns:xm="http://schemas.microsoft.com/office/excel/2006/main">
          <x14:cfRule type="expression" priority="2219" id="{2E7100A6-7B8F-4808-B6A2-D3BE9816341C}">
            <xm:f>$Z$8='Assessment Details'!$Q$23</xm:f>
            <x14:dxf>
              <font>
                <color theme="0"/>
              </font>
              <fill>
                <patternFill>
                  <bgColor theme="0"/>
                </patternFill>
              </fill>
            </x14:dxf>
          </x14:cfRule>
          <xm:sqref>U78:U79</xm:sqref>
        </x14:conditionalFormatting>
        <x14:conditionalFormatting xmlns:xm="http://schemas.microsoft.com/office/excel/2006/main">
          <x14:cfRule type="expression" priority="2218" id="{FC4023BD-68ED-4558-9A2B-3D04902BEE9B}">
            <xm:f>$Z$8='Assessment Details'!$Q$23</xm:f>
            <x14:dxf>
              <border>
                <left style="thin">
                  <color theme="0"/>
                </left>
                <right style="thin">
                  <color theme="0"/>
                </right>
                <top style="thin">
                  <color theme="0"/>
                </top>
                <bottom style="thin">
                  <color theme="0"/>
                </bottom>
                <vertical/>
                <horizontal/>
              </border>
            </x14:dxf>
          </x14:cfRule>
          <xm:sqref>U78:U79</xm:sqref>
        </x14:conditionalFormatting>
        <x14:conditionalFormatting xmlns:xm="http://schemas.microsoft.com/office/excel/2006/main">
          <x14:cfRule type="expression" priority="2207" id="{8639024F-F23F-4E81-8DB4-60196403B34E}">
            <xm:f>$S$8='Assessment Details'!$Q$23</xm:f>
            <x14:dxf>
              <font>
                <color theme="0"/>
              </font>
              <fill>
                <patternFill>
                  <bgColor theme="0"/>
                </patternFill>
              </fill>
              <border>
                <vertical/>
                <horizontal/>
              </border>
            </x14:dxf>
          </x14:cfRule>
          <xm:sqref>N81:N82</xm:sqref>
        </x14:conditionalFormatting>
        <x14:conditionalFormatting xmlns:xm="http://schemas.microsoft.com/office/excel/2006/main">
          <x14:cfRule type="expression" priority="2206" id="{DFA2286E-5E2D-490A-B777-279B25DA5D7A}">
            <xm:f>$S$8='Assessment Details'!$Q$23</xm:f>
            <x14:dxf>
              <border>
                <left style="thin">
                  <color theme="0"/>
                </left>
                <right style="thin">
                  <color theme="0"/>
                </right>
                <top style="thin">
                  <color theme="0"/>
                </top>
                <bottom style="thin">
                  <color theme="0"/>
                </bottom>
                <vertical/>
                <horizontal/>
              </border>
            </x14:dxf>
          </x14:cfRule>
          <xm:sqref>N81:N82</xm:sqref>
        </x14:conditionalFormatting>
        <x14:conditionalFormatting xmlns:xm="http://schemas.microsoft.com/office/excel/2006/main">
          <x14:cfRule type="expression" priority="2205" id="{A06AD768-0E12-4632-BF09-4EF20AD923AD}">
            <xm:f>$Z$8='Assessment Details'!$Q$23</xm:f>
            <x14:dxf>
              <font>
                <color theme="0"/>
              </font>
              <fill>
                <patternFill>
                  <bgColor theme="0"/>
                </patternFill>
              </fill>
            </x14:dxf>
          </x14:cfRule>
          <xm:sqref>X81:Y82</xm:sqref>
        </x14:conditionalFormatting>
        <x14:conditionalFormatting xmlns:xm="http://schemas.microsoft.com/office/excel/2006/main">
          <x14:cfRule type="expression" priority="2204" id="{E77AFA42-6B5D-4DC0-AC7F-5C75A794FC89}">
            <xm:f>$Z$8='Assessment Details'!$Q$23</xm:f>
            <x14:dxf>
              <border>
                <left style="thin">
                  <color theme="0"/>
                </left>
                <right style="thin">
                  <color theme="0"/>
                </right>
                <top style="thin">
                  <color theme="0"/>
                </top>
                <bottom style="thin">
                  <color theme="0"/>
                </bottom>
                <vertical/>
                <horizontal/>
              </border>
            </x14:dxf>
          </x14:cfRule>
          <xm:sqref>X81:Y82</xm:sqref>
        </x14:conditionalFormatting>
        <x14:conditionalFormatting xmlns:xm="http://schemas.microsoft.com/office/excel/2006/main">
          <x14:cfRule type="expression" priority="2190" id="{6BE170C4-1FB8-4BDF-942B-64FC45CD4B36}">
            <xm:f>$Z$8='Assessment Details'!$Q$23</xm:f>
            <x14:dxf>
              <font>
                <color theme="0"/>
              </font>
              <fill>
                <patternFill>
                  <bgColor theme="0"/>
                </patternFill>
              </fill>
            </x14:dxf>
          </x14:cfRule>
          <xm:sqref>U81:U82</xm:sqref>
        </x14:conditionalFormatting>
        <x14:conditionalFormatting xmlns:xm="http://schemas.microsoft.com/office/excel/2006/main">
          <x14:cfRule type="expression" priority="2189" id="{18AE2361-A98A-42D3-96CF-E77AEE8F46B2}">
            <xm:f>$Z$8='Assessment Details'!$Q$23</xm:f>
            <x14:dxf>
              <border>
                <left style="thin">
                  <color theme="0"/>
                </left>
                <right style="thin">
                  <color theme="0"/>
                </right>
                <top style="thin">
                  <color theme="0"/>
                </top>
                <bottom style="thin">
                  <color theme="0"/>
                </bottom>
                <vertical/>
                <horizontal/>
              </border>
            </x14:dxf>
          </x14:cfRule>
          <xm:sqref>U81:U82</xm:sqref>
        </x14:conditionalFormatting>
        <x14:conditionalFormatting xmlns:xm="http://schemas.microsoft.com/office/excel/2006/main">
          <x14:cfRule type="expression" priority="2178" id="{BA419F19-B666-4964-86BA-61594272A086}">
            <xm:f>$S$8='Assessment Details'!$Q$23</xm:f>
            <x14:dxf>
              <font>
                <color theme="0"/>
              </font>
              <fill>
                <patternFill>
                  <bgColor theme="0"/>
                </patternFill>
              </fill>
              <border>
                <vertical/>
                <horizontal/>
              </border>
            </x14:dxf>
          </x14:cfRule>
          <xm:sqref>N84</xm:sqref>
        </x14:conditionalFormatting>
        <x14:conditionalFormatting xmlns:xm="http://schemas.microsoft.com/office/excel/2006/main">
          <x14:cfRule type="expression" priority="2177" id="{7C2E7C01-9625-4B7D-BB98-A2EF414C1587}">
            <xm:f>$S$8='Assessment Details'!$Q$23</xm:f>
            <x14:dxf>
              <border>
                <left style="thin">
                  <color theme="0"/>
                </left>
                <right style="thin">
                  <color theme="0"/>
                </right>
                <top style="thin">
                  <color theme="0"/>
                </top>
                <bottom style="thin">
                  <color theme="0"/>
                </bottom>
                <vertical/>
                <horizontal/>
              </border>
            </x14:dxf>
          </x14:cfRule>
          <xm:sqref>N84</xm:sqref>
        </x14:conditionalFormatting>
        <x14:conditionalFormatting xmlns:xm="http://schemas.microsoft.com/office/excel/2006/main">
          <x14:cfRule type="expression" priority="2176" id="{2599D598-DAC1-4239-AF06-22F4CEEBF02A}">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2175" id="{17F0D2D1-E694-47EC-BCCB-99EF84D2EBEC}">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2161" id="{D4CEBB18-5A16-48E8-8394-E284801659CC}">
            <xm:f>$Z$8='Assessment Details'!$Q$23</xm:f>
            <x14:dxf>
              <font>
                <color theme="0"/>
              </font>
              <fill>
                <patternFill>
                  <bgColor theme="0"/>
                </patternFill>
              </fill>
            </x14:dxf>
          </x14:cfRule>
          <xm:sqref>U84</xm:sqref>
        </x14:conditionalFormatting>
        <x14:conditionalFormatting xmlns:xm="http://schemas.microsoft.com/office/excel/2006/main">
          <x14:cfRule type="expression" priority="2160" id="{132AA12C-8570-482C-B517-97BC4D3044BA}">
            <xm:f>$Z$8='Assessment Details'!$Q$23</xm:f>
            <x14:dxf>
              <border>
                <left style="thin">
                  <color theme="0"/>
                </left>
                <right style="thin">
                  <color theme="0"/>
                </right>
                <top style="thin">
                  <color theme="0"/>
                </top>
                <bottom style="thin">
                  <color theme="0"/>
                </bottom>
                <vertical/>
                <horizontal/>
              </border>
            </x14:dxf>
          </x14:cfRule>
          <xm:sqref>U84</xm:sqref>
        </x14:conditionalFormatting>
        <x14:conditionalFormatting xmlns:xm="http://schemas.microsoft.com/office/excel/2006/main">
          <x14:cfRule type="expression" priority="2149" id="{8C27B10B-C236-44AF-9911-EDBB50120527}">
            <xm:f>$S$8='Assessment Details'!$Q$23</xm:f>
            <x14:dxf>
              <font>
                <color theme="0"/>
              </font>
              <fill>
                <patternFill>
                  <bgColor theme="0"/>
                </patternFill>
              </fill>
              <border>
                <vertical/>
                <horizontal/>
              </border>
            </x14:dxf>
          </x14:cfRule>
          <xm:sqref>N88:N89</xm:sqref>
        </x14:conditionalFormatting>
        <x14:conditionalFormatting xmlns:xm="http://schemas.microsoft.com/office/excel/2006/main">
          <x14:cfRule type="expression" priority="2148" id="{674A6998-AEE3-4066-906F-6FD4CBB1F6BC}">
            <xm:f>$S$8='Assessment Details'!$Q$23</xm:f>
            <x14:dxf>
              <border>
                <left style="thin">
                  <color theme="0"/>
                </left>
                <right style="thin">
                  <color theme="0"/>
                </right>
                <top style="thin">
                  <color theme="0"/>
                </top>
                <bottom style="thin">
                  <color theme="0"/>
                </bottom>
                <vertical/>
                <horizontal/>
              </border>
            </x14:dxf>
          </x14:cfRule>
          <xm:sqref>N88:N89</xm:sqref>
        </x14:conditionalFormatting>
        <x14:conditionalFormatting xmlns:xm="http://schemas.microsoft.com/office/excel/2006/main">
          <x14:cfRule type="expression" priority="2147" id="{8C07C4CB-E10E-4C06-A90B-18DCA1148E08}">
            <xm:f>$Z$8='Assessment Details'!$Q$23</xm:f>
            <x14:dxf>
              <font>
                <color theme="0"/>
              </font>
              <fill>
                <patternFill>
                  <bgColor theme="0"/>
                </patternFill>
              </fill>
            </x14:dxf>
          </x14:cfRule>
          <xm:sqref>X88:Y89</xm:sqref>
        </x14:conditionalFormatting>
        <x14:conditionalFormatting xmlns:xm="http://schemas.microsoft.com/office/excel/2006/main">
          <x14:cfRule type="expression" priority="2146" id="{20700757-9EE6-4693-825B-207F2301AEF6}">
            <xm:f>$Z$8='Assessment Details'!$Q$23</xm:f>
            <x14:dxf>
              <border>
                <left style="thin">
                  <color theme="0"/>
                </left>
                <right style="thin">
                  <color theme="0"/>
                </right>
                <top style="thin">
                  <color theme="0"/>
                </top>
                <bottom style="thin">
                  <color theme="0"/>
                </bottom>
                <vertical/>
                <horizontal/>
              </border>
            </x14:dxf>
          </x14:cfRule>
          <xm:sqref>X88:Y89</xm:sqref>
        </x14:conditionalFormatting>
        <x14:conditionalFormatting xmlns:xm="http://schemas.microsoft.com/office/excel/2006/main">
          <x14:cfRule type="expression" priority="2132" id="{350E3395-ADF6-4C24-88B5-226CCCB7E2C1}">
            <xm:f>$Z$8='Assessment Details'!$Q$23</xm:f>
            <x14:dxf>
              <font>
                <color theme="0"/>
              </font>
              <fill>
                <patternFill>
                  <bgColor theme="0"/>
                </patternFill>
              </fill>
            </x14:dxf>
          </x14:cfRule>
          <xm:sqref>U88:U89</xm:sqref>
        </x14:conditionalFormatting>
        <x14:conditionalFormatting xmlns:xm="http://schemas.microsoft.com/office/excel/2006/main">
          <x14:cfRule type="expression" priority="2131" id="{282C15CE-13FA-41D8-856D-B17BEF62880E}">
            <xm:f>$Z$8='Assessment Details'!$Q$23</xm:f>
            <x14:dxf>
              <border>
                <left style="thin">
                  <color theme="0"/>
                </left>
                <right style="thin">
                  <color theme="0"/>
                </right>
                <top style="thin">
                  <color theme="0"/>
                </top>
                <bottom style="thin">
                  <color theme="0"/>
                </bottom>
                <vertical/>
                <horizontal/>
              </border>
            </x14:dxf>
          </x14:cfRule>
          <xm:sqref>U88:U89</xm:sqref>
        </x14:conditionalFormatting>
        <x14:conditionalFormatting xmlns:xm="http://schemas.microsoft.com/office/excel/2006/main">
          <x14:cfRule type="expression" priority="2120" id="{F752570C-D2FC-4EFE-83D9-62BB7B2F3170}">
            <xm:f>$S$8='Assessment Details'!$Q$23</xm:f>
            <x14:dxf>
              <font>
                <color theme="0"/>
              </font>
              <fill>
                <patternFill>
                  <bgColor theme="0"/>
                </patternFill>
              </fill>
              <border>
                <vertical/>
                <horizontal/>
              </border>
            </x14:dxf>
          </x14:cfRule>
          <xm:sqref>N91</xm:sqref>
        </x14:conditionalFormatting>
        <x14:conditionalFormatting xmlns:xm="http://schemas.microsoft.com/office/excel/2006/main">
          <x14:cfRule type="expression" priority="2119" id="{AD315150-4F01-4163-BD4B-6271BC05F848}">
            <xm:f>$S$8='Assessment Details'!$Q$23</xm:f>
            <x14:dxf>
              <border>
                <left style="thin">
                  <color theme="0"/>
                </left>
                <right style="thin">
                  <color theme="0"/>
                </right>
                <top style="thin">
                  <color theme="0"/>
                </top>
                <bottom style="thin">
                  <color theme="0"/>
                </bottom>
                <vertical/>
                <horizontal/>
              </border>
            </x14:dxf>
          </x14:cfRule>
          <xm:sqref>N91</xm:sqref>
        </x14:conditionalFormatting>
        <x14:conditionalFormatting xmlns:xm="http://schemas.microsoft.com/office/excel/2006/main">
          <x14:cfRule type="expression" priority="2118" id="{5664C6BB-F929-4B99-B383-9CE7C18DE75F}">
            <xm:f>$Z$8='Assessment Details'!$Q$23</xm:f>
            <x14:dxf>
              <font>
                <color theme="0"/>
              </font>
              <fill>
                <patternFill>
                  <bgColor theme="0"/>
                </patternFill>
              </fill>
            </x14:dxf>
          </x14:cfRule>
          <xm:sqref>X91:Y91</xm:sqref>
        </x14:conditionalFormatting>
        <x14:conditionalFormatting xmlns:xm="http://schemas.microsoft.com/office/excel/2006/main">
          <x14:cfRule type="expression" priority="2117" id="{0BBFF4CF-301E-4067-8F7A-27696B035A2D}">
            <xm:f>$Z$8='Assessment Details'!$Q$23</xm:f>
            <x14:dxf>
              <border>
                <left style="thin">
                  <color theme="0"/>
                </left>
                <right style="thin">
                  <color theme="0"/>
                </right>
                <top style="thin">
                  <color theme="0"/>
                </top>
                <bottom style="thin">
                  <color theme="0"/>
                </bottom>
                <vertical/>
                <horizontal/>
              </border>
            </x14:dxf>
          </x14:cfRule>
          <xm:sqref>X91:Y91</xm:sqref>
        </x14:conditionalFormatting>
        <x14:conditionalFormatting xmlns:xm="http://schemas.microsoft.com/office/excel/2006/main">
          <x14:cfRule type="expression" priority="2103" id="{7723BC43-6FB0-46EE-9682-4EA6458B7550}">
            <xm:f>$Z$8='Assessment Details'!$Q$23</xm:f>
            <x14:dxf>
              <font>
                <color theme="0"/>
              </font>
              <fill>
                <patternFill>
                  <bgColor theme="0"/>
                </patternFill>
              </fill>
            </x14:dxf>
          </x14:cfRule>
          <xm:sqref>U91</xm:sqref>
        </x14:conditionalFormatting>
        <x14:conditionalFormatting xmlns:xm="http://schemas.microsoft.com/office/excel/2006/main">
          <x14:cfRule type="expression" priority="2102" id="{AA88D484-8C09-4A5A-B459-54F1A7625209}">
            <xm:f>$Z$8='Assessment Details'!$Q$23</xm:f>
            <x14:dxf>
              <border>
                <left style="thin">
                  <color theme="0"/>
                </left>
                <right style="thin">
                  <color theme="0"/>
                </right>
                <top style="thin">
                  <color theme="0"/>
                </top>
                <bottom style="thin">
                  <color theme="0"/>
                </bottom>
                <vertical/>
                <horizontal/>
              </border>
            </x14:dxf>
          </x14:cfRule>
          <xm:sqref>U91</xm:sqref>
        </x14:conditionalFormatting>
        <x14:conditionalFormatting xmlns:xm="http://schemas.microsoft.com/office/excel/2006/main">
          <x14:cfRule type="expression" priority="2091" id="{C07C2A46-91E7-4772-8CA9-25391F1186D4}">
            <xm:f>$S$8='Assessment Details'!$Q$23</xm:f>
            <x14:dxf>
              <font>
                <color theme="0"/>
              </font>
              <fill>
                <patternFill>
                  <bgColor theme="0"/>
                </patternFill>
              </fill>
              <border>
                <vertical/>
                <horizontal/>
              </border>
            </x14:dxf>
          </x14:cfRule>
          <xm:sqref>N96:N97</xm:sqref>
        </x14:conditionalFormatting>
        <x14:conditionalFormatting xmlns:xm="http://schemas.microsoft.com/office/excel/2006/main">
          <x14:cfRule type="expression" priority="2090" id="{577E7415-B426-4761-969E-525C3026E8FA}">
            <xm:f>$S$8='Assessment Details'!$Q$23</xm:f>
            <x14:dxf>
              <border>
                <left style="thin">
                  <color theme="0"/>
                </left>
                <right style="thin">
                  <color theme="0"/>
                </right>
                <top style="thin">
                  <color theme="0"/>
                </top>
                <bottom style="thin">
                  <color theme="0"/>
                </bottom>
                <vertical/>
                <horizontal/>
              </border>
            </x14:dxf>
          </x14:cfRule>
          <xm:sqref>N96:N97</xm:sqref>
        </x14:conditionalFormatting>
        <x14:conditionalFormatting xmlns:xm="http://schemas.microsoft.com/office/excel/2006/main">
          <x14:cfRule type="expression" priority="2089" id="{0F38F094-9045-4951-98A8-D95A67FBEFE2}">
            <xm:f>$Z$8='Assessment Details'!$Q$23</xm:f>
            <x14:dxf>
              <font>
                <color theme="0"/>
              </font>
              <fill>
                <patternFill>
                  <bgColor theme="0"/>
                </patternFill>
              </fill>
            </x14:dxf>
          </x14:cfRule>
          <xm:sqref>X96:Y97</xm:sqref>
        </x14:conditionalFormatting>
        <x14:conditionalFormatting xmlns:xm="http://schemas.microsoft.com/office/excel/2006/main">
          <x14:cfRule type="expression" priority="2088" id="{3FA31538-631E-45F9-85FD-CFBABEAACC6A}">
            <xm:f>$Z$8='Assessment Details'!$Q$23</xm:f>
            <x14:dxf>
              <border>
                <left style="thin">
                  <color theme="0"/>
                </left>
                <right style="thin">
                  <color theme="0"/>
                </right>
                <top style="thin">
                  <color theme="0"/>
                </top>
                <bottom style="thin">
                  <color theme="0"/>
                </bottom>
                <vertical/>
                <horizontal/>
              </border>
            </x14:dxf>
          </x14:cfRule>
          <xm:sqref>X96:Y97</xm:sqref>
        </x14:conditionalFormatting>
        <x14:conditionalFormatting xmlns:xm="http://schemas.microsoft.com/office/excel/2006/main">
          <x14:cfRule type="expression" priority="2074" id="{7AB54FE5-B9DA-4EA7-A9E5-953C8B3C0473}">
            <xm:f>$Z$8='Assessment Details'!$Q$23</xm:f>
            <x14:dxf>
              <font>
                <color theme="0"/>
              </font>
              <fill>
                <patternFill>
                  <bgColor theme="0"/>
                </patternFill>
              </fill>
            </x14:dxf>
          </x14:cfRule>
          <xm:sqref>U96:U97</xm:sqref>
        </x14:conditionalFormatting>
        <x14:conditionalFormatting xmlns:xm="http://schemas.microsoft.com/office/excel/2006/main">
          <x14:cfRule type="expression" priority="2073" id="{1A327D6A-84EE-4B73-BBC3-DA9F1F71661F}">
            <xm:f>$Z$8='Assessment Details'!$Q$23</xm:f>
            <x14:dxf>
              <border>
                <left style="thin">
                  <color theme="0"/>
                </left>
                <right style="thin">
                  <color theme="0"/>
                </right>
                <top style="thin">
                  <color theme="0"/>
                </top>
                <bottom style="thin">
                  <color theme="0"/>
                </bottom>
                <vertical/>
                <horizontal/>
              </border>
            </x14:dxf>
          </x14:cfRule>
          <xm:sqref>U96:U97</xm:sqref>
        </x14:conditionalFormatting>
        <x14:conditionalFormatting xmlns:xm="http://schemas.microsoft.com/office/excel/2006/main">
          <x14:cfRule type="expression" priority="2062" id="{C3940A50-D42F-4EE2-9290-3CFB7F8B7535}">
            <xm:f>$S$8='Assessment Details'!$Q$23</xm:f>
            <x14:dxf>
              <font>
                <color theme="0"/>
              </font>
              <fill>
                <patternFill>
                  <bgColor theme="0"/>
                </patternFill>
              </fill>
              <border>
                <vertical/>
                <horizontal/>
              </border>
            </x14:dxf>
          </x14:cfRule>
          <xm:sqref>N100</xm:sqref>
        </x14:conditionalFormatting>
        <x14:conditionalFormatting xmlns:xm="http://schemas.microsoft.com/office/excel/2006/main">
          <x14:cfRule type="expression" priority="2061" id="{043B8E32-32E3-4AF6-AF54-5D4F904BBCBE}">
            <xm:f>$S$8='Assessment Details'!$Q$23</xm:f>
            <x14:dxf>
              <border>
                <left style="thin">
                  <color theme="0"/>
                </left>
                <right style="thin">
                  <color theme="0"/>
                </right>
                <top style="thin">
                  <color theme="0"/>
                </top>
                <bottom style="thin">
                  <color theme="0"/>
                </bottom>
                <vertical/>
                <horizontal/>
              </border>
            </x14:dxf>
          </x14:cfRule>
          <xm:sqref>N100</xm:sqref>
        </x14:conditionalFormatting>
        <x14:conditionalFormatting xmlns:xm="http://schemas.microsoft.com/office/excel/2006/main">
          <x14:cfRule type="expression" priority="2060" id="{5E88E285-50C1-45B0-8809-FE6EE42280C1}">
            <xm:f>$Z$8='Assessment Details'!$Q$23</xm:f>
            <x14:dxf>
              <font>
                <color theme="0"/>
              </font>
              <fill>
                <patternFill>
                  <bgColor theme="0"/>
                </patternFill>
              </fill>
            </x14:dxf>
          </x14:cfRule>
          <xm:sqref>X100:Y100</xm:sqref>
        </x14:conditionalFormatting>
        <x14:conditionalFormatting xmlns:xm="http://schemas.microsoft.com/office/excel/2006/main">
          <x14:cfRule type="expression" priority="2059" id="{B2A6B52D-816E-4EA0-B131-D139B7B3810A}">
            <xm:f>$Z$8='Assessment Details'!$Q$23</xm:f>
            <x14:dxf>
              <border>
                <left style="thin">
                  <color theme="0"/>
                </left>
                <right style="thin">
                  <color theme="0"/>
                </right>
                <top style="thin">
                  <color theme="0"/>
                </top>
                <bottom style="thin">
                  <color theme="0"/>
                </bottom>
                <vertical/>
                <horizontal/>
              </border>
            </x14:dxf>
          </x14:cfRule>
          <xm:sqref>X100:Y100</xm:sqref>
        </x14:conditionalFormatting>
        <x14:conditionalFormatting xmlns:xm="http://schemas.microsoft.com/office/excel/2006/main">
          <x14:cfRule type="expression" priority="2045" id="{14EED676-A4E1-4BFD-83F8-AA561679BBD0}">
            <xm:f>$Z$8='Assessment Details'!$Q$23</xm:f>
            <x14:dxf>
              <font>
                <color theme="0"/>
              </font>
              <fill>
                <patternFill>
                  <bgColor theme="0"/>
                </patternFill>
              </fill>
            </x14:dxf>
          </x14:cfRule>
          <xm:sqref>U100</xm:sqref>
        </x14:conditionalFormatting>
        <x14:conditionalFormatting xmlns:xm="http://schemas.microsoft.com/office/excel/2006/main">
          <x14:cfRule type="expression" priority="2044" id="{6AAD1F98-0862-4CC9-897D-B8E6FDC1C8BC}">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2031" id="{441C8689-B4E2-429B-9CEA-778569C7C540}">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2030" id="{EF608D6E-1539-43FF-B8D6-278AB35159A5}">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2004" id="{7B2A31D0-1B1D-40B1-A127-9805B0DD5AF0}">
            <xm:f>$S$8='Assessment Details'!$Q$23</xm:f>
            <x14:dxf>
              <font>
                <color theme="0"/>
              </font>
              <fill>
                <patternFill>
                  <bgColor theme="0"/>
                </patternFill>
              </fill>
              <border>
                <vertical/>
                <horizontal/>
              </border>
            </x14:dxf>
          </x14:cfRule>
          <xm:sqref>N108</xm:sqref>
        </x14:conditionalFormatting>
        <x14:conditionalFormatting xmlns:xm="http://schemas.microsoft.com/office/excel/2006/main">
          <x14:cfRule type="expression" priority="2003" id="{E6FA7601-77CD-4AE7-992B-729BB6BD7E1A}">
            <xm:f>$S$8='Assessment Details'!$Q$23</xm:f>
            <x14:dxf>
              <border>
                <left style="thin">
                  <color theme="0"/>
                </left>
                <right style="thin">
                  <color theme="0"/>
                </right>
                <top style="thin">
                  <color theme="0"/>
                </top>
                <bottom style="thin">
                  <color theme="0"/>
                </bottom>
                <vertical/>
                <horizontal/>
              </border>
            </x14:dxf>
          </x14:cfRule>
          <xm:sqref>N108</xm:sqref>
        </x14:conditionalFormatting>
        <x14:conditionalFormatting xmlns:xm="http://schemas.microsoft.com/office/excel/2006/main">
          <x14:cfRule type="expression" priority="2002" id="{424714F3-BE21-4E51-B5AE-058A206714D5}">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2001" id="{F5867DB7-16F4-4BFC-BCBE-34DBD34DF362}">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1987" id="{4A476CF7-E041-4E3A-99FF-8438380D39EC}">
            <xm:f>$Z$8='Assessment Details'!$Q$23</xm:f>
            <x14:dxf>
              <font>
                <color theme="0"/>
              </font>
              <fill>
                <patternFill>
                  <bgColor theme="0"/>
                </patternFill>
              </fill>
            </x14:dxf>
          </x14:cfRule>
          <xm:sqref>U108</xm:sqref>
        </x14:conditionalFormatting>
        <x14:conditionalFormatting xmlns:xm="http://schemas.microsoft.com/office/excel/2006/main">
          <x14:cfRule type="expression" priority="1986" id="{F62E1726-0408-441A-A6AF-C3E7A5ECAD32}">
            <xm:f>$Z$8='Assessment Details'!$Q$23</xm:f>
            <x14:dxf>
              <border>
                <left style="thin">
                  <color theme="0"/>
                </left>
                <right style="thin">
                  <color theme="0"/>
                </right>
                <top style="thin">
                  <color theme="0"/>
                </top>
                <bottom style="thin">
                  <color theme="0"/>
                </bottom>
                <vertical/>
                <horizontal/>
              </border>
            </x14:dxf>
          </x14:cfRule>
          <xm:sqref>U108</xm:sqref>
        </x14:conditionalFormatting>
        <x14:conditionalFormatting xmlns:xm="http://schemas.microsoft.com/office/excel/2006/main">
          <x14:cfRule type="expression" priority="1975" id="{32892BEA-02D1-45A9-8A5E-FD88AD203770}">
            <xm:f>$S$8='Assessment Details'!$Q$23</xm:f>
            <x14:dxf>
              <font>
                <color theme="0"/>
              </font>
              <fill>
                <patternFill>
                  <bgColor theme="0"/>
                </patternFill>
              </fill>
              <border>
                <vertical/>
                <horizontal/>
              </border>
            </x14:dxf>
          </x14:cfRule>
          <xm:sqref>N110:N112</xm:sqref>
        </x14:conditionalFormatting>
        <x14:conditionalFormatting xmlns:xm="http://schemas.microsoft.com/office/excel/2006/main">
          <x14:cfRule type="expression" priority="1974" id="{0CC88DFC-5A80-49DF-8B48-B6A3B1455E8E}">
            <xm:f>$S$8='Assessment Details'!$Q$23</xm:f>
            <x14:dxf>
              <border>
                <left style="thin">
                  <color theme="0"/>
                </left>
                <right style="thin">
                  <color theme="0"/>
                </right>
                <top style="thin">
                  <color theme="0"/>
                </top>
                <bottom style="thin">
                  <color theme="0"/>
                </bottom>
                <vertical/>
                <horizontal/>
              </border>
            </x14:dxf>
          </x14:cfRule>
          <xm:sqref>N110:N112</xm:sqref>
        </x14:conditionalFormatting>
        <x14:conditionalFormatting xmlns:xm="http://schemas.microsoft.com/office/excel/2006/main">
          <x14:cfRule type="expression" priority="1973" id="{B3A5F764-8080-490B-A02D-C22DA6F0062A}">
            <xm:f>$Z$8='Assessment Details'!$Q$23</xm:f>
            <x14:dxf>
              <font>
                <color theme="0"/>
              </font>
              <fill>
                <patternFill>
                  <bgColor theme="0"/>
                </patternFill>
              </fill>
            </x14:dxf>
          </x14:cfRule>
          <xm:sqref>X110:Y112</xm:sqref>
        </x14:conditionalFormatting>
        <x14:conditionalFormatting xmlns:xm="http://schemas.microsoft.com/office/excel/2006/main">
          <x14:cfRule type="expression" priority="1972" id="{45E4DBE2-E841-4A11-8D13-23BBA2767A47}">
            <xm:f>$Z$8='Assessment Details'!$Q$23</xm:f>
            <x14:dxf>
              <border>
                <left style="thin">
                  <color theme="0"/>
                </left>
                <right style="thin">
                  <color theme="0"/>
                </right>
                <top style="thin">
                  <color theme="0"/>
                </top>
                <bottom style="thin">
                  <color theme="0"/>
                </bottom>
                <vertical/>
                <horizontal/>
              </border>
            </x14:dxf>
          </x14:cfRule>
          <xm:sqref>X110:Y112</xm:sqref>
        </x14:conditionalFormatting>
        <x14:conditionalFormatting xmlns:xm="http://schemas.microsoft.com/office/excel/2006/main">
          <x14:cfRule type="expression" priority="1958" id="{D72C36D9-F5B6-4AB0-8FB7-C5F40119A46A}">
            <xm:f>$Z$8='Assessment Details'!$Q$23</xm:f>
            <x14:dxf>
              <font>
                <color theme="0"/>
              </font>
              <fill>
                <patternFill>
                  <bgColor theme="0"/>
                </patternFill>
              </fill>
            </x14:dxf>
          </x14:cfRule>
          <xm:sqref>U110:U112</xm:sqref>
        </x14:conditionalFormatting>
        <x14:conditionalFormatting xmlns:xm="http://schemas.microsoft.com/office/excel/2006/main">
          <x14:cfRule type="expression" priority="1957" id="{1E986299-3ACC-45EB-86AF-48B4725B7348}">
            <xm:f>$Z$8='Assessment Details'!$Q$23</xm:f>
            <x14:dxf>
              <border>
                <left style="thin">
                  <color theme="0"/>
                </left>
                <right style="thin">
                  <color theme="0"/>
                </right>
                <top style="thin">
                  <color theme="0"/>
                </top>
                <bottom style="thin">
                  <color theme="0"/>
                </bottom>
                <vertical/>
                <horizontal/>
              </border>
            </x14:dxf>
          </x14:cfRule>
          <xm:sqref>U110:U112</xm:sqref>
        </x14:conditionalFormatting>
        <x14:conditionalFormatting xmlns:xm="http://schemas.microsoft.com/office/excel/2006/main">
          <x14:cfRule type="expression" priority="1946" id="{68C9DA0A-41E6-4F15-A030-01D389F3B82A}">
            <xm:f>$S$8='Assessment Details'!$Q$23</xm:f>
            <x14:dxf>
              <font>
                <color theme="0"/>
              </font>
              <fill>
                <patternFill>
                  <bgColor theme="0"/>
                </patternFill>
              </fill>
              <border>
                <vertical/>
                <horizontal/>
              </border>
            </x14:dxf>
          </x14:cfRule>
          <xm:sqref>N114</xm:sqref>
        </x14:conditionalFormatting>
        <x14:conditionalFormatting xmlns:xm="http://schemas.microsoft.com/office/excel/2006/main">
          <x14:cfRule type="expression" priority="1945" id="{465F5CC7-097C-46A4-B3E3-D5C4711C66D2}">
            <xm:f>$S$8='Assessment Details'!$Q$23</xm:f>
            <x14:dxf>
              <border>
                <left style="thin">
                  <color theme="0"/>
                </left>
                <right style="thin">
                  <color theme="0"/>
                </right>
                <top style="thin">
                  <color theme="0"/>
                </top>
                <bottom style="thin">
                  <color theme="0"/>
                </bottom>
                <vertical/>
                <horizontal/>
              </border>
            </x14:dxf>
          </x14:cfRule>
          <xm:sqref>N114</xm:sqref>
        </x14:conditionalFormatting>
        <x14:conditionalFormatting xmlns:xm="http://schemas.microsoft.com/office/excel/2006/main">
          <x14:cfRule type="expression" priority="1944" id="{B09F6E3B-E8D4-4827-A0F3-C8817143544E}">
            <xm:f>$Z$8='Assessment Details'!$Q$23</xm:f>
            <x14:dxf>
              <font>
                <color theme="0"/>
              </font>
              <fill>
                <patternFill>
                  <bgColor theme="0"/>
                </patternFill>
              </fill>
            </x14:dxf>
          </x14:cfRule>
          <xm:sqref>X114:Y114</xm:sqref>
        </x14:conditionalFormatting>
        <x14:conditionalFormatting xmlns:xm="http://schemas.microsoft.com/office/excel/2006/main">
          <x14:cfRule type="expression" priority="1943" id="{FA46903B-E196-4B2F-AA44-27F41C6DA8AE}">
            <xm:f>$Z$8='Assessment Details'!$Q$23</xm:f>
            <x14:dxf>
              <border>
                <left style="thin">
                  <color theme="0"/>
                </left>
                <right style="thin">
                  <color theme="0"/>
                </right>
                <top style="thin">
                  <color theme="0"/>
                </top>
                <bottom style="thin">
                  <color theme="0"/>
                </bottom>
                <vertical/>
                <horizontal/>
              </border>
            </x14:dxf>
          </x14:cfRule>
          <xm:sqref>X114:Y114</xm:sqref>
        </x14:conditionalFormatting>
        <x14:conditionalFormatting xmlns:xm="http://schemas.microsoft.com/office/excel/2006/main">
          <x14:cfRule type="expression" priority="1929" id="{9242C56E-CA89-438D-AEA3-F07652B9C657}">
            <xm:f>$Z$8='Assessment Details'!$Q$23</xm:f>
            <x14:dxf>
              <font>
                <color theme="0"/>
              </font>
              <fill>
                <patternFill>
                  <bgColor theme="0"/>
                </patternFill>
              </fill>
            </x14:dxf>
          </x14:cfRule>
          <xm:sqref>U114</xm:sqref>
        </x14:conditionalFormatting>
        <x14:conditionalFormatting xmlns:xm="http://schemas.microsoft.com/office/excel/2006/main">
          <x14:cfRule type="expression" priority="1928" id="{7730D062-E525-41F5-8B6A-F8A1FB99B752}">
            <xm:f>$Z$8='Assessment Details'!$Q$23</xm:f>
            <x14:dxf>
              <border>
                <left style="thin">
                  <color theme="0"/>
                </left>
                <right style="thin">
                  <color theme="0"/>
                </right>
                <top style="thin">
                  <color theme="0"/>
                </top>
                <bottom style="thin">
                  <color theme="0"/>
                </bottom>
                <vertical/>
                <horizontal/>
              </border>
            </x14:dxf>
          </x14:cfRule>
          <xm:sqref>U114</xm:sqref>
        </x14:conditionalFormatting>
        <x14:conditionalFormatting xmlns:xm="http://schemas.microsoft.com/office/excel/2006/main">
          <x14:cfRule type="expression" priority="1917" id="{2A9D427E-F068-408E-9A4C-FE1929F9F5E4}">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1916" id="{F70B8EC2-3323-4B73-B934-DBAAEBE485B1}">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1915" id="{D0EC2C93-38C2-4976-BC0B-22F92CEE26B0}">
            <xm:f>$Z$8='Assessment Details'!$Q$23</xm:f>
            <x14:dxf>
              <font>
                <color theme="0"/>
              </font>
              <fill>
                <patternFill>
                  <bgColor theme="0"/>
                </patternFill>
              </fill>
            </x14:dxf>
          </x14:cfRule>
          <xm:sqref>X119:Y120</xm:sqref>
        </x14:conditionalFormatting>
        <x14:conditionalFormatting xmlns:xm="http://schemas.microsoft.com/office/excel/2006/main">
          <x14:cfRule type="expression" priority="1914" id="{F128472A-ED34-44A1-932D-38AA3104F105}">
            <xm:f>$Z$8='Assessment Details'!$Q$23</xm:f>
            <x14:dxf>
              <border>
                <left style="thin">
                  <color theme="0"/>
                </left>
                <right style="thin">
                  <color theme="0"/>
                </right>
                <top style="thin">
                  <color theme="0"/>
                </top>
                <bottom style="thin">
                  <color theme="0"/>
                </bottom>
                <vertical/>
                <horizontal/>
              </border>
            </x14:dxf>
          </x14:cfRule>
          <xm:sqref>X119:Y120</xm:sqref>
        </x14:conditionalFormatting>
        <x14:conditionalFormatting xmlns:xm="http://schemas.microsoft.com/office/excel/2006/main">
          <x14:cfRule type="expression" priority="1900" id="{6CBC215F-BE7D-4245-AD38-D6540C807748}">
            <xm:f>$Z$8='Assessment Details'!$Q$23</xm:f>
            <x14:dxf>
              <font>
                <color theme="0"/>
              </font>
              <fill>
                <patternFill>
                  <bgColor theme="0"/>
                </patternFill>
              </fill>
            </x14:dxf>
          </x14:cfRule>
          <xm:sqref>U120</xm:sqref>
        </x14:conditionalFormatting>
        <x14:conditionalFormatting xmlns:xm="http://schemas.microsoft.com/office/excel/2006/main">
          <x14:cfRule type="expression" priority="1899" id="{0131B8D1-C936-431C-BCC9-E24458EECDC5}">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1888" id="{5EEE7B26-7396-44F8-ABF7-24978A46B1C3}">
            <xm:f>$S$8='Assessment Details'!$Q$23</xm:f>
            <x14:dxf>
              <font>
                <color theme="0"/>
              </font>
              <fill>
                <patternFill>
                  <bgColor theme="0"/>
                </patternFill>
              </fill>
              <border>
                <vertical/>
                <horizontal/>
              </border>
            </x14:dxf>
          </x14:cfRule>
          <xm:sqref>N121</xm:sqref>
        </x14:conditionalFormatting>
        <x14:conditionalFormatting xmlns:xm="http://schemas.microsoft.com/office/excel/2006/main">
          <x14:cfRule type="expression" priority="1887" id="{A8975BC4-D1ED-4A55-BFF5-4EF4B3D0E2D2}">
            <xm:f>$S$8='Assessment Details'!$Q$23</xm:f>
            <x14:dxf>
              <border>
                <left style="thin">
                  <color theme="0"/>
                </left>
                <right style="thin">
                  <color theme="0"/>
                </right>
                <top style="thin">
                  <color theme="0"/>
                </top>
                <bottom style="thin">
                  <color theme="0"/>
                </bottom>
                <vertical/>
                <horizontal/>
              </border>
            </x14:dxf>
          </x14:cfRule>
          <xm:sqref>N121</xm:sqref>
        </x14:conditionalFormatting>
        <x14:conditionalFormatting xmlns:xm="http://schemas.microsoft.com/office/excel/2006/main">
          <x14:cfRule type="expression" priority="1886" id="{23A9E5FA-49A4-4977-BD8C-4BFBBC074599}">
            <xm:f>$Z$8='Assessment Details'!$Q$23</xm:f>
            <x14:dxf>
              <font>
                <color theme="0"/>
              </font>
              <fill>
                <patternFill>
                  <bgColor theme="0"/>
                </patternFill>
              </fill>
            </x14:dxf>
          </x14:cfRule>
          <xm:sqref>X121:Y121</xm:sqref>
        </x14:conditionalFormatting>
        <x14:conditionalFormatting xmlns:xm="http://schemas.microsoft.com/office/excel/2006/main">
          <x14:cfRule type="expression" priority="1885" id="{5B988751-BAC6-4E77-BD88-FA97DAFB6FAC}">
            <xm:f>$Z$8='Assessment Details'!$Q$23</xm:f>
            <x14:dxf>
              <border>
                <left style="thin">
                  <color theme="0"/>
                </left>
                <right style="thin">
                  <color theme="0"/>
                </right>
                <top style="thin">
                  <color theme="0"/>
                </top>
                <bottom style="thin">
                  <color theme="0"/>
                </bottom>
                <vertical/>
                <horizontal/>
              </border>
            </x14:dxf>
          </x14:cfRule>
          <xm:sqref>X121:Y121</xm:sqref>
        </x14:conditionalFormatting>
        <x14:conditionalFormatting xmlns:xm="http://schemas.microsoft.com/office/excel/2006/main">
          <x14:cfRule type="expression" priority="1871" id="{25A8BB2B-FA58-4854-B931-12D08C4D10E1}">
            <xm:f>$Z$8='Assessment Details'!$Q$23</xm:f>
            <x14:dxf>
              <font>
                <color theme="0"/>
              </font>
              <fill>
                <patternFill>
                  <bgColor theme="0"/>
                </patternFill>
              </fill>
            </x14:dxf>
          </x14:cfRule>
          <xm:sqref>U121</xm:sqref>
        </x14:conditionalFormatting>
        <x14:conditionalFormatting xmlns:xm="http://schemas.microsoft.com/office/excel/2006/main">
          <x14:cfRule type="expression" priority="1870" id="{101DB69E-756E-4F0C-B9F7-8E8E0215D90A}">
            <xm:f>$Z$8='Assessment Details'!$Q$23</xm:f>
            <x14:dxf>
              <border>
                <left style="thin">
                  <color theme="0"/>
                </left>
                <right style="thin">
                  <color theme="0"/>
                </right>
                <top style="thin">
                  <color theme="0"/>
                </top>
                <bottom style="thin">
                  <color theme="0"/>
                </bottom>
                <vertical/>
                <horizontal/>
              </border>
            </x14:dxf>
          </x14:cfRule>
          <xm:sqref>U121</xm:sqref>
        </x14:conditionalFormatting>
        <x14:conditionalFormatting xmlns:xm="http://schemas.microsoft.com/office/excel/2006/main">
          <x14:cfRule type="expression" priority="1859" id="{4EF6E49C-BED4-406F-BE87-7B0360FDAB67}">
            <xm:f>$S$8='Assessment Details'!$Q$23</xm:f>
            <x14:dxf>
              <font>
                <color theme="0"/>
              </font>
              <fill>
                <patternFill>
                  <bgColor theme="0"/>
                </patternFill>
              </fill>
              <border>
                <vertical/>
                <horizontal/>
              </border>
            </x14:dxf>
          </x14:cfRule>
          <xm:sqref>N124:N125</xm:sqref>
        </x14:conditionalFormatting>
        <x14:conditionalFormatting xmlns:xm="http://schemas.microsoft.com/office/excel/2006/main">
          <x14:cfRule type="expression" priority="1858" id="{D3C34911-69F8-48A1-B6ED-DE82D42E819B}">
            <xm:f>$S$8='Assessment Details'!$Q$23</xm:f>
            <x14:dxf>
              <border>
                <left style="thin">
                  <color theme="0"/>
                </left>
                <right style="thin">
                  <color theme="0"/>
                </right>
                <top style="thin">
                  <color theme="0"/>
                </top>
                <bottom style="thin">
                  <color theme="0"/>
                </bottom>
                <vertical/>
                <horizontal/>
              </border>
            </x14:dxf>
          </x14:cfRule>
          <xm:sqref>N124:N125</xm:sqref>
        </x14:conditionalFormatting>
        <x14:conditionalFormatting xmlns:xm="http://schemas.microsoft.com/office/excel/2006/main">
          <x14:cfRule type="expression" priority="1857" id="{50060DB4-2C50-4831-A3DC-1D9336373361}">
            <xm:f>$Z$8='Assessment Details'!$Q$23</xm:f>
            <x14:dxf>
              <font>
                <color theme="0"/>
              </font>
              <fill>
                <patternFill>
                  <bgColor theme="0"/>
                </patternFill>
              </fill>
            </x14:dxf>
          </x14:cfRule>
          <xm:sqref>X123:Y125</xm:sqref>
        </x14:conditionalFormatting>
        <x14:conditionalFormatting xmlns:xm="http://schemas.microsoft.com/office/excel/2006/main">
          <x14:cfRule type="expression" priority="1856" id="{CF922480-7679-4BE3-8DC7-0D0FFD64470E}">
            <xm:f>$Z$8='Assessment Details'!$Q$23</xm:f>
            <x14:dxf>
              <border>
                <left style="thin">
                  <color theme="0"/>
                </left>
                <right style="thin">
                  <color theme="0"/>
                </right>
                <top style="thin">
                  <color theme="0"/>
                </top>
                <bottom style="thin">
                  <color theme="0"/>
                </bottom>
                <vertical/>
                <horizontal/>
              </border>
            </x14:dxf>
          </x14:cfRule>
          <xm:sqref>X123:Y125</xm:sqref>
        </x14:conditionalFormatting>
        <x14:conditionalFormatting xmlns:xm="http://schemas.microsoft.com/office/excel/2006/main">
          <x14:cfRule type="expression" priority="1842" id="{4A45FB35-FE9A-46BB-B9AD-F40678324215}">
            <xm:f>$Z$8='Assessment Details'!$Q$23</xm:f>
            <x14:dxf>
              <font>
                <color theme="0"/>
              </font>
              <fill>
                <patternFill>
                  <bgColor theme="0"/>
                </patternFill>
              </fill>
            </x14:dxf>
          </x14:cfRule>
          <xm:sqref>U124:U125</xm:sqref>
        </x14:conditionalFormatting>
        <x14:conditionalFormatting xmlns:xm="http://schemas.microsoft.com/office/excel/2006/main">
          <x14:cfRule type="expression" priority="1841" id="{F7821420-C628-4DF6-8DAC-B0AFE8E5A034}">
            <xm:f>$Z$8='Assessment Details'!$Q$23</xm:f>
            <x14:dxf>
              <border>
                <left style="thin">
                  <color theme="0"/>
                </left>
                <right style="thin">
                  <color theme="0"/>
                </right>
                <top style="thin">
                  <color theme="0"/>
                </top>
                <bottom style="thin">
                  <color theme="0"/>
                </bottom>
                <vertical/>
                <horizontal/>
              </border>
            </x14:dxf>
          </x14:cfRule>
          <xm:sqref>U124:U125</xm:sqref>
        </x14:conditionalFormatting>
        <x14:conditionalFormatting xmlns:xm="http://schemas.microsoft.com/office/excel/2006/main">
          <x14:cfRule type="expression" priority="1830" id="{B92208E3-902A-4A3B-A3BA-3CCAB64D775D}">
            <xm:f>$S$8='Assessment Details'!$Q$23</xm:f>
            <x14:dxf>
              <font>
                <color theme="0"/>
              </font>
              <fill>
                <patternFill>
                  <bgColor theme="0"/>
                </patternFill>
              </fill>
              <border>
                <vertical/>
                <horizontal/>
              </border>
            </x14:dxf>
          </x14:cfRule>
          <xm:sqref>N128:N129</xm:sqref>
        </x14:conditionalFormatting>
        <x14:conditionalFormatting xmlns:xm="http://schemas.microsoft.com/office/excel/2006/main">
          <x14:cfRule type="expression" priority="1829" id="{FC32DA5C-ADDF-4F88-BA91-610EC7A39372}">
            <xm:f>$S$8='Assessment Details'!$Q$23</xm:f>
            <x14:dxf>
              <border>
                <left style="thin">
                  <color theme="0"/>
                </left>
                <right style="thin">
                  <color theme="0"/>
                </right>
                <top style="thin">
                  <color theme="0"/>
                </top>
                <bottom style="thin">
                  <color theme="0"/>
                </bottom>
                <vertical/>
                <horizontal/>
              </border>
            </x14:dxf>
          </x14:cfRule>
          <xm:sqref>N128:N129</xm:sqref>
        </x14:conditionalFormatting>
        <x14:conditionalFormatting xmlns:xm="http://schemas.microsoft.com/office/excel/2006/main">
          <x14:cfRule type="expression" priority="1828" id="{D8C23F1C-454E-4E05-912D-430FD2303616}">
            <xm:f>$Z$8='Assessment Details'!$Q$23</xm:f>
            <x14:dxf>
              <font>
                <color theme="0"/>
              </font>
              <fill>
                <patternFill>
                  <bgColor theme="0"/>
                </patternFill>
              </fill>
            </x14:dxf>
          </x14:cfRule>
          <xm:sqref>X127:Y129</xm:sqref>
        </x14:conditionalFormatting>
        <x14:conditionalFormatting xmlns:xm="http://schemas.microsoft.com/office/excel/2006/main">
          <x14:cfRule type="expression" priority="1827" id="{53437D6B-49B0-41C9-89F4-EEC6C6271F13}">
            <xm:f>$Z$8='Assessment Details'!$Q$23</xm:f>
            <x14:dxf>
              <border>
                <left style="thin">
                  <color theme="0"/>
                </left>
                <right style="thin">
                  <color theme="0"/>
                </right>
                <top style="thin">
                  <color theme="0"/>
                </top>
                <bottom style="thin">
                  <color theme="0"/>
                </bottom>
                <vertical/>
                <horizontal/>
              </border>
            </x14:dxf>
          </x14:cfRule>
          <xm:sqref>X127:Y129</xm:sqref>
        </x14:conditionalFormatting>
        <x14:conditionalFormatting xmlns:xm="http://schemas.microsoft.com/office/excel/2006/main">
          <x14:cfRule type="expression" priority="1813" id="{53C57763-7EE5-400D-89B9-CA43CE3A32A4}">
            <xm:f>$Z$8='Assessment Details'!$Q$23</xm:f>
            <x14:dxf>
              <font>
                <color theme="0"/>
              </font>
              <fill>
                <patternFill>
                  <bgColor theme="0"/>
                </patternFill>
              </fill>
            </x14:dxf>
          </x14:cfRule>
          <xm:sqref>U128:U129</xm:sqref>
        </x14:conditionalFormatting>
        <x14:conditionalFormatting xmlns:xm="http://schemas.microsoft.com/office/excel/2006/main">
          <x14:cfRule type="expression" priority="1812" id="{8BCEF200-DDC5-4E75-94A7-174946B7B2C8}">
            <xm:f>$Z$8='Assessment Details'!$Q$23</xm:f>
            <x14:dxf>
              <border>
                <left style="thin">
                  <color theme="0"/>
                </left>
                <right style="thin">
                  <color theme="0"/>
                </right>
                <top style="thin">
                  <color theme="0"/>
                </top>
                <bottom style="thin">
                  <color theme="0"/>
                </bottom>
                <vertical/>
                <horizontal/>
              </border>
            </x14:dxf>
          </x14:cfRule>
          <xm:sqref>U128:U129</xm:sqref>
        </x14:conditionalFormatting>
        <x14:conditionalFormatting xmlns:xm="http://schemas.microsoft.com/office/excel/2006/main">
          <x14:cfRule type="expression" priority="1801" id="{E0A16678-FC5B-4F26-AF0E-E9AFC51AFB43}">
            <xm:f>$S$8='Assessment Details'!$Q$23</xm:f>
            <x14:dxf>
              <font>
                <color theme="0"/>
              </font>
              <fill>
                <patternFill>
                  <bgColor theme="0"/>
                </patternFill>
              </fill>
              <border>
                <vertical/>
                <horizontal/>
              </border>
            </x14:dxf>
          </x14:cfRule>
          <xm:sqref>N132:N134</xm:sqref>
        </x14:conditionalFormatting>
        <x14:conditionalFormatting xmlns:xm="http://schemas.microsoft.com/office/excel/2006/main">
          <x14:cfRule type="expression" priority="1800" id="{5E2010F1-4E53-4B39-AA66-3C4D0BAC458C}">
            <xm:f>$S$8='Assessment Details'!$Q$23</xm:f>
            <x14:dxf>
              <border>
                <left style="thin">
                  <color theme="0"/>
                </left>
                <right style="thin">
                  <color theme="0"/>
                </right>
                <top style="thin">
                  <color theme="0"/>
                </top>
                <bottom style="thin">
                  <color theme="0"/>
                </bottom>
                <vertical/>
                <horizontal/>
              </border>
            </x14:dxf>
          </x14:cfRule>
          <xm:sqref>N132:N134</xm:sqref>
        </x14:conditionalFormatting>
        <x14:conditionalFormatting xmlns:xm="http://schemas.microsoft.com/office/excel/2006/main">
          <x14:cfRule type="expression" priority="1799" id="{2C445FB8-32E5-4052-ADCA-D641C5E82EFE}">
            <xm:f>$Z$8='Assessment Details'!$Q$23</xm:f>
            <x14:dxf>
              <font>
                <color theme="0"/>
              </font>
              <fill>
                <patternFill>
                  <bgColor theme="0"/>
                </patternFill>
              </fill>
            </x14:dxf>
          </x14:cfRule>
          <xm:sqref>X131:Y134</xm:sqref>
        </x14:conditionalFormatting>
        <x14:conditionalFormatting xmlns:xm="http://schemas.microsoft.com/office/excel/2006/main">
          <x14:cfRule type="expression" priority="1798" id="{7BC0A505-FFBA-48EA-97EA-AB95FD4CDA3E}">
            <xm:f>$Z$8='Assessment Details'!$Q$23</xm:f>
            <x14:dxf>
              <border>
                <left style="thin">
                  <color theme="0"/>
                </left>
                <right style="thin">
                  <color theme="0"/>
                </right>
                <top style="thin">
                  <color theme="0"/>
                </top>
                <bottom style="thin">
                  <color theme="0"/>
                </bottom>
                <vertical/>
                <horizontal/>
              </border>
            </x14:dxf>
          </x14:cfRule>
          <xm:sqref>X131:Y134</xm:sqref>
        </x14:conditionalFormatting>
        <x14:conditionalFormatting xmlns:xm="http://schemas.microsoft.com/office/excel/2006/main">
          <x14:cfRule type="expression" priority="1784" id="{7479CEDE-CE48-46F5-B3CE-3EDBA5F25AB2}">
            <xm:f>$Z$8='Assessment Details'!$Q$23</xm:f>
            <x14:dxf>
              <font>
                <color theme="0"/>
              </font>
              <fill>
                <patternFill>
                  <bgColor theme="0"/>
                </patternFill>
              </fill>
            </x14:dxf>
          </x14:cfRule>
          <xm:sqref>U132:U134</xm:sqref>
        </x14:conditionalFormatting>
        <x14:conditionalFormatting xmlns:xm="http://schemas.microsoft.com/office/excel/2006/main">
          <x14:cfRule type="expression" priority="1783" id="{B059EEFB-8402-4A30-961B-BAAB98C9CA61}">
            <xm:f>$Z$8='Assessment Details'!$Q$23</xm:f>
            <x14:dxf>
              <border>
                <left style="thin">
                  <color theme="0"/>
                </left>
                <right style="thin">
                  <color theme="0"/>
                </right>
                <top style="thin">
                  <color theme="0"/>
                </top>
                <bottom style="thin">
                  <color theme="0"/>
                </bottom>
                <vertical/>
                <horizontal/>
              </border>
            </x14:dxf>
          </x14:cfRule>
          <xm:sqref>U132:U134</xm:sqref>
        </x14:conditionalFormatting>
        <x14:conditionalFormatting xmlns:xm="http://schemas.microsoft.com/office/excel/2006/main">
          <x14:cfRule type="expression" priority="1772" id="{7D2398AA-0000-47A2-9781-B5DDD89E5915}">
            <xm:f>$S$8='Assessment Details'!$Q$23</xm:f>
            <x14:dxf>
              <font>
                <color theme="0"/>
              </font>
              <fill>
                <patternFill>
                  <bgColor theme="0"/>
                </patternFill>
              </fill>
              <border>
                <vertical/>
                <horizontal/>
              </border>
            </x14:dxf>
          </x14:cfRule>
          <xm:sqref>N138:N140</xm:sqref>
        </x14:conditionalFormatting>
        <x14:conditionalFormatting xmlns:xm="http://schemas.microsoft.com/office/excel/2006/main">
          <x14:cfRule type="expression" priority="1771" id="{5C2D7F45-EF4C-4E07-804B-000117299471}">
            <xm:f>$S$8='Assessment Details'!$Q$23</xm:f>
            <x14:dxf>
              <border>
                <left style="thin">
                  <color theme="0"/>
                </left>
                <right style="thin">
                  <color theme="0"/>
                </right>
                <top style="thin">
                  <color theme="0"/>
                </top>
                <bottom style="thin">
                  <color theme="0"/>
                </bottom>
                <vertical/>
                <horizontal/>
              </border>
            </x14:dxf>
          </x14:cfRule>
          <xm:sqref>N138:N140</xm:sqref>
        </x14:conditionalFormatting>
        <x14:conditionalFormatting xmlns:xm="http://schemas.microsoft.com/office/excel/2006/main">
          <x14:cfRule type="expression" priority="1770" id="{1925A519-29FE-47D1-856B-6EBA4E436B5F}">
            <xm:f>$Z$8='Assessment Details'!$Q$23</xm:f>
            <x14:dxf>
              <font>
                <color theme="0"/>
              </font>
              <fill>
                <patternFill>
                  <bgColor theme="0"/>
                </patternFill>
              </fill>
            </x14:dxf>
          </x14:cfRule>
          <xm:sqref>X138:Y140</xm:sqref>
        </x14:conditionalFormatting>
        <x14:conditionalFormatting xmlns:xm="http://schemas.microsoft.com/office/excel/2006/main">
          <x14:cfRule type="expression" priority="1769" id="{45006A04-6D52-4DAB-B815-D4A1E7C191C6}">
            <xm:f>$Z$8='Assessment Details'!$Q$23</xm:f>
            <x14:dxf>
              <border>
                <left style="thin">
                  <color theme="0"/>
                </left>
                <right style="thin">
                  <color theme="0"/>
                </right>
                <top style="thin">
                  <color theme="0"/>
                </top>
                <bottom style="thin">
                  <color theme="0"/>
                </bottom>
                <vertical/>
                <horizontal/>
              </border>
            </x14:dxf>
          </x14:cfRule>
          <xm:sqref>X138:Y140</xm:sqref>
        </x14:conditionalFormatting>
        <x14:conditionalFormatting xmlns:xm="http://schemas.microsoft.com/office/excel/2006/main">
          <x14:cfRule type="expression" priority="1755" id="{4CF5F6A5-1E13-47D3-971E-F3306A90C6A5}">
            <xm:f>$Z$8='Assessment Details'!$Q$23</xm:f>
            <x14:dxf>
              <font>
                <color theme="0"/>
              </font>
              <fill>
                <patternFill>
                  <bgColor theme="0"/>
                </patternFill>
              </fill>
            </x14:dxf>
          </x14:cfRule>
          <xm:sqref>U138:U140</xm:sqref>
        </x14:conditionalFormatting>
        <x14:conditionalFormatting xmlns:xm="http://schemas.microsoft.com/office/excel/2006/main">
          <x14:cfRule type="expression" priority="1754" id="{BDB1FD9F-F546-4D48-8CC0-B2F32DA0D5B9}">
            <xm:f>$Z$8='Assessment Details'!$Q$23</xm:f>
            <x14:dxf>
              <border>
                <left style="thin">
                  <color theme="0"/>
                </left>
                <right style="thin">
                  <color theme="0"/>
                </right>
                <top style="thin">
                  <color theme="0"/>
                </top>
                <bottom style="thin">
                  <color theme="0"/>
                </bottom>
                <vertical/>
                <horizontal/>
              </border>
            </x14:dxf>
          </x14:cfRule>
          <xm:sqref>U138:U140</xm:sqref>
        </x14:conditionalFormatting>
        <x14:conditionalFormatting xmlns:xm="http://schemas.microsoft.com/office/excel/2006/main">
          <x14:cfRule type="expression" priority="1743" id="{67140F08-C9FC-46DD-A0AB-3302CF0056E4}">
            <xm:f>$S$8='Assessment Details'!$Q$23</xm:f>
            <x14:dxf>
              <font>
                <color theme="0"/>
              </font>
              <fill>
                <patternFill>
                  <bgColor theme="0"/>
                </patternFill>
              </fill>
              <border>
                <vertical/>
                <horizontal/>
              </border>
            </x14:dxf>
          </x14:cfRule>
          <xm:sqref>N142:N144</xm:sqref>
        </x14:conditionalFormatting>
        <x14:conditionalFormatting xmlns:xm="http://schemas.microsoft.com/office/excel/2006/main">
          <x14:cfRule type="expression" priority="1742" id="{A85ACC34-0D8B-4107-8A96-E3B853C679FE}">
            <xm:f>$S$8='Assessment Details'!$Q$23</xm:f>
            <x14:dxf>
              <border>
                <left style="thin">
                  <color theme="0"/>
                </left>
                <right style="thin">
                  <color theme="0"/>
                </right>
                <top style="thin">
                  <color theme="0"/>
                </top>
                <bottom style="thin">
                  <color theme="0"/>
                </bottom>
                <vertical/>
                <horizontal/>
              </border>
            </x14:dxf>
          </x14:cfRule>
          <xm:sqref>N142:N144</xm:sqref>
        </x14:conditionalFormatting>
        <x14:conditionalFormatting xmlns:xm="http://schemas.microsoft.com/office/excel/2006/main">
          <x14:cfRule type="expression" priority="1741" id="{032792DF-393A-49F6-90A1-EDD69B8A490F}">
            <xm:f>$Z$8='Assessment Details'!$Q$23</xm:f>
            <x14:dxf>
              <font>
                <color theme="0"/>
              </font>
              <fill>
                <patternFill>
                  <bgColor theme="0"/>
                </patternFill>
              </fill>
            </x14:dxf>
          </x14:cfRule>
          <xm:sqref>X142:Y144</xm:sqref>
        </x14:conditionalFormatting>
        <x14:conditionalFormatting xmlns:xm="http://schemas.microsoft.com/office/excel/2006/main">
          <x14:cfRule type="expression" priority="1740" id="{BC2CB9DA-69B3-45A6-9FCD-E6C9BA123E03}">
            <xm:f>$Z$8='Assessment Details'!$Q$23</xm:f>
            <x14:dxf>
              <border>
                <left style="thin">
                  <color theme="0"/>
                </left>
                <right style="thin">
                  <color theme="0"/>
                </right>
                <top style="thin">
                  <color theme="0"/>
                </top>
                <bottom style="thin">
                  <color theme="0"/>
                </bottom>
                <vertical/>
                <horizontal/>
              </border>
            </x14:dxf>
          </x14:cfRule>
          <xm:sqref>X142:Y144</xm:sqref>
        </x14:conditionalFormatting>
        <x14:conditionalFormatting xmlns:xm="http://schemas.microsoft.com/office/excel/2006/main">
          <x14:cfRule type="expression" priority="1726" id="{3EA07825-143D-4430-A697-A414DBE2A254}">
            <xm:f>$Z$8='Assessment Details'!$Q$23</xm:f>
            <x14:dxf>
              <font>
                <color theme="0"/>
              </font>
              <fill>
                <patternFill>
                  <bgColor theme="0"/>
                </patternFill>
              </fill>
            </x14:dxf>
          </x14:cfRule>
          <xm:sqref>U142:U144</xm:sqref>
        </x14:conditionalFormatting>
        <x14:conditionalFormatting xmlns:xm="http://schemas.microsoft.com/office/excel/2006/main">
          <x14:cfRule type="expression" priority="1725" id="{6F66AE9F-82CF-491A-A146-85F93A24A0EB}">
            <xm:f>$Z$8='Assessment Details'!$Q$23</xm:f>
            <x14:dxf>
              <border>
                <left style="thin">
                  <color theme="0"/>
                </left>
                <right style="thin">
                  <color theme="0"/>
                </right>
                <top style="thin">
                  <color theme="0"/>
                </top>
                <bottom style="thin">
                  <color theme="0"/>
                </bottom>
                <vertical/>
                <horizontal/>
              </border>
            </x14:dxf>
          </x14:cfRule>
          <xm:sqref>U142:U144</xm:sqref>
        </x14:conditionalFormatting>
        <x14:conditionalFormatting xmlns:xm="http://schemas.microsoft.com/office/excel/2006/main">
          <x14:cfRule type="expression" priority="1714" id="{44E17499-C2F6-46EF-B2AA-9A3AB76E0407}">
            <xm:f>$S$8='Assessment Details'!$Q$23</xm:f>
            <x14:dxf>
              <font>
                <color theme="0"/>
              </font>
              <fill>
                <patternFill>
                  <bgColor theme="0"/>
                </patternFill>
              </fill>
              <border>
                <vertical/>
                <horizontal/>
              </border>
            </x14:dxf>
          </x14:cfRule>
          <xm:sqref>N151:N152</xm:sqref>
        </x14:conditionalFormatting>
        <x14:conditionalFormatting xmlns:xm="http://schemas.microsoft.com/office/excel/2006/main">
          <x14:cfRule type="expression" priority="1713" id="{1502D2C8-A2B7-45DE-97E7-424E5399048E}">
            <xm:f>$S$8='Assessment Details'!$Q$23</xm:f>
            <x14:dxf>
              <border>
                <left style="thin">
                  <color theme="0"/>
                </left>
                <right style="thin">
                  <color theme="0"/>
                </right>
                <top style="thin">
                  <color theme="0"/>
                </top>
                <bottom style="thin">
                  <color theme="0"/>
                </bottom>
                <vertical/>
                <horizontal/>
              </border>
            </x14:dxf>
          </x14:cfRule>
          <xm:sqref>N151:N152</xm:sqref>
        </x14:conditionalFormatting>
        <x14:conditionalFormatting xmlns:xm="http://schemas.microsoft.com/office/excel/2006/main">
          <x14:cfRule type="expression" priority="1712" id="{39095236-53C3-4F3D-950B-C36B50CD6384}">
            <xm:f>$Z$8='Assessment Details'!$Q$23</xm:f>
            <x14:dxf>
              <font>
                <color theme="0"/>
              </font>
              <fill>
                <patternFill>
                  <bgColor theme="0"/>
                </patternFill>
              </fill>
            </x14:dxf>
          </x14:cfRule>
          <xm:sqref>X150:Y152</xm:sqref>
        </x14:conditionalFormatting>
        <x14:conditionalFormatting xmlns:xm="http://schemas.microsoft.com/office/excel/2006/main">
          <x14:cfRule type="expression" priority="1711" id="{8FF76635-9554-4CD4-B092-34C9BF80048C}">
            <xm:f>$Z$8='Assessment Details'!$Q$23</xm:f>
            <x14:dxf>
              <border>
                <left style="thin">
                  <color theme="0"/>
                </left>
                <right style="thin">
                  <color theme="0"/>
                </right>
                <top style="thin">
                  <color theme="0"/>
                </top>
                <bottom style="thin">
                  <color theme="0"/>
                </bottom>
                <vertical/>
                <horizontal/>
              </border>
            </x14:dxf>
          </x14:cfRule>
          <xm:sqref>X150:Y152</xm:sqref>
        </x14:conditionalFormatting>
        <x14:conditionalFormatting xmlns:xm="http://schemas.microsoft.com/office/excel/2006/main">
          <x14:cfRule type="expression" priority="1697" id="{D587C718-D0FA-4E96-9278-638905D4A4F8}">
            <xm:f>$Z$8='Assessment Details'!$Q$23</xm:f>
            <x14:dxf>
              <font>
                <color theme="0"/>
              </font>
              <fill>
                <patternFill>
                  <bgColor theme="0"/>
                </patternFill>
              </fill>
            </x14:dxf>
          </x14:cfRule>
          <xm:sqref>U151:U152</xm:sqref>
        </x14:conditionalFormatting>
        <x14:conditionalFormatting xmlns:xm="http://schemas.microsoft.com/office/excel/2006/main">
          <x14:cfRule type="expression" priority="1696" id="{4AD8FE10-2A04-439F-A3D7-D849B225CA6B}">
            <xm:f>$Z$8='Assessment Details'!$Q$23</xm:f>
            <x14:dxf>
              <border>
                <left style="thin">
                  <color theme="0"/>
                </left>
                <right style="thin">
                  <color theme="0"/>
                </right>
                <top style="thin">
                  <color theme="0"/>
                </top>
                <bottom style="thin">
                  <color theme="0"/>
                </bottom>
                <vertical/>
                <horizontal/>
              </border>
            </x14:dxf>
          </x14:cfRule>
          <xm:sqref>U151:U152</xm:sqref>
        </x14:conditionalFormatting>
        <x14:conditionalFormatting xmlns:xm="http://schemas.microsoft.com/office/excel/2006/main">
          <x14:cfRule type="expression" priority="1685" id="{8111D68C-ED4E-4E20-A6EF-766488248D03}">
            <xm:f>$S$8='Assessment Details'!$Q$23</xm:f>
            <x14:dxf>
              <font>
                <color theme="0"/>
              </font>
              <fill>
                <patternFill>
                  <bgColor theme="0"/>
                </patternFill>
              </fill>
              <border>
                <vertical/>
                <horizontal/>
              </border>
            </x14:dxf>
          </x14:cfRule>
          <xm:sqref>N155</xm:sqref>
        </x14:conditionalFormatting>
        <x14:conditionalFormatting xmlns:xm="http://schemas.microsoft.com/office/excel/2006/main">
          <x14:cfRule type="expression" priority="1684" id="{94DD3C6F-C113-46B5-9523-B3A9F444C760}">
            <xm:f>$S$8='Assessment Details'!$Q$23</xm:f>
            <x14:dxf>
              <border>
                <left style="thin">
                  <color theme="0"/>
                </left>
                <right style="thin">
                  <color theme="0"/>
                </right>
                <top style="thin">
                  <color theme="0"/>
                </top>
                <bottom style="thin">
                  <color theme="0"/>
                </bottom>
                <vertical/>
                <horizontal/>
              </border>
            </x14:dxf>
          </x14:cfRule>
          <xm:sqref>N155</xm:sqref>
        </x14:conditionalFormatting>
        <x14:conditionalFormatting xmlns:xm="http://schemas.microsoft.com/office/excel/2006/main">
          <x14:cfRule type="expression" priority="1683" id="{14EBF0E0-11D4-4858-AE0C-B018D8C3BE5D}">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1682" id="{410E04A5-9E98-42E7-9FF9-FD96BDFC383F}">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1668" id="{EFD004EF-0AD9-4C0E-A482-FE351BFD77E4}">
            <xm:f>$Z$8='Assessment Details'!$Q$23</xm:f>
            <x14:dxf>
              <font>
                <color theme="0"/>
              </font>
              <fill>
                <patternFill>
                  <bgColor theme="0"/>
                </patternFill>
              </fill>
            </x14:dxf>
          </x14:cfRule>
          <xm:sqref>U155</xm:sqref>
        </x14:conditionalFormatting>
        <x14:conditionalFormatting xmlns:xm="http://schemas.microsoft.com/office/excel/2006/main">
          <x14:cfRule type="expression" priority="1667" id="{C9BE59CD-01E6-4E04-81D4-CC65C596A545}">
            <xm:f>$Z$8='Assessment Details'!$Q$23</xm:f>
            <x14:dxf>
              <border>
                <left style="thin">
                  <color theme="0"/>
                </left>
                <right style="thin">
                  <color theme="0"/>
                </right>
                <top style="thin">
                  <color theme="0"/>
                </top>
                <bottom style="thin">
                  <color theme="0"/>
                </bottom>
                <vertical/>
                <horizontal/>
              </border>
            </x14:dxf>
          </x14:cfRule>
          <xm:sqref>U155</xm:sqref>
        </x14:conditionalFormatting>
        <x14:conditionalFormatting xmlns:xm="http://schemas.microsoft.com/office/excel/2006/main">
          <x14:cfRule type="expression" priority="1656" id="{E93C857C-28FB-4390-B46A-FF8DF2C14CA9}">
            <xm:f>$S$8='Assessment Details'!$Q$23</xm:f>
            <x14:dxf>
              <font>
                <color theme="0"/>
              </font>
              <fill>
                <patternFill>
                  <bgColor theme="0"/>
                </patternFill>
              </fill>
              <border>
                <vertical/>
                <horizontal/>
              </border>
            </x14:dxf>
          </x14:cfRule>
          <xm:sqref>N157</xm:sqref>
        </x14:conditionalFormatting>
        <x14:conditionalFormatting xmlns:xm="http://schemas.microsoft.com/office/excel/2006/main">
          <x14:cfRule type="expression" priority="1655" id="{FB83C662-E61F-403A-B5C3-A775A006BD5A}">
            <xm:f>$S$8='Assessment Details'!$Q$23</xm:f>
            <x14:dxf>
              <border>
                <left style="thin">
                  <color theme="0"/>
                </left>
                <right style="thin">
                  <color theme="0"/>
                </right>
                <top style="thin">
                  <color theme="0"/>
                </top>
                <bottom style="thin">
                  <color theme="0"/>
                </bottom>
                <vertical/>
                <horizontal/>
              </border>
            </x14:dxf>
          </x14:cfRule>
          <xm:sqref>N157</xm:sqref>
        </x14:conditionalFormatting>
        <x14:conditionalFormatting xmlns:xm="http://schemas.microsoft.com/office/excel/2006/main">
          <x14:cfRule type="expression" priority="1654" id="{33A6284F-614F-4C7F-B72F-847D6D3039AD}">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1653" id="{7029ABC3-A3B5-4C44-9CDE-266B9BDFB425}">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1639" id="{505F3318-0C46-4E24-842E-54A82A74FDB0}">
            <xm:f>$Z$8='Assessment Details'!$Q$23</xm:f>
            <x14:dxf>
              <font>
                <color theme="0"/>
              </font>
              <fill>
                <patternFill>
                  <bgColor theme="0"/>
                </patternFill>
              </fill>
            </x14:dxf>
          </x14:cfRule>
          <xm:sqref>U157</xm:sqref>
        </x14:conditionalFormatting>
        <x14:conditionalFormatting xmlns:xm="http://schemas.microsoft.com/office/excel/2006/main">
          <x14:cfRule type="expression" priority="1638" id="{A6A933DF-C393-4F14-9D8E-B37AEA7D3CB9}">
            <xm:f>$Z$8='Assessment Details'!$Q$23</xm:f>
            <x14:dxf>
              <border>
                <left style="thin">
                  <color theme="0"/>
                </left>
                <right style="thin">
                  <color theme="0"/>
                </right>
                <top style="thin">
                  <color theme="0"/>
                </top>
                <bottom style="thin">
                  <color theme="0"/>
                </bottom>
                <vertical/>
                <horizontal/>
              </border>
            </x14:dxf>
          </x14:cfRule>
          <xm:sqref>U157</xm:sqref>
        </x14:conditionalFormatting>
        <x14:conditionalFormatting xmlns:xm="http://schemas.microsoft.com/office/excel/2006/main">
          <x14:cfRule type="expression" priority="1627" id="{B5BAF25E-EFB2-4473-9E7D-9B148D482A30}">
            <xm:f>$S$8='Assessment Details'!$Q$23</xm:f>
            <x14:dxf>
              <font>
                <color theme="0"/>
              </font>
              <fill>
                <patternFill>
                  <bgColor theme="0"/>
                </patternFill>
              </fill>
              <border>
                <vertical/>
                <horizontal/>
              </border>
            </x14:dxf>
          </x14:cfRule>
          <xm:sqref>N159</xm:sqref>
        </x14:conditionalFormatting>
        <x14:conditionalFormatting xmlns:xm="http://schemas.microsoft.com/office/excel/2006/main">
          <x14:cfRule type="expression" priority="1626" id="{C3B1ECA9-75EA-4F8E-A27C-14108B7F0209}">
            <xm:f>$S$8='Assessment Details'!$Q$23</xm:f>
            <x14:dxf>
              <border>
                <left style="thin">
                  <color theme="0"/>
                </left>
                <right style="thin">
                  <color theme="0"/>
                </right>
                <top style="thin">
                  <color theme="0"/>
                </top>
                <bottom style="thin">
                  <color theme="0"/>
                </bottom>
                <vertical/>
                <horizontal/>
              </border>
            </x14:dxf>
          </x14:cfRule>
          <xm:sqref>N159</xm:sqref>
        </x14:conditionalFormatting>
        <x14:conditionalFormatting xmlns:xm="http://schemas.microsoft.com/office/excel/2006/main">
          <x14:cfRule type="expression" priority="1625" id="{FAD0F942-33DA-46B1-AC40-39F2D6CB26A2}">
            <xm:f>$Z$8='Assessment Details'!$Q$23</xm:f>
            <x14:dxf>
              <font>
                <color theme="0"/>
              </font>
              <fill>
                <patternFill>
                  <bgColor theme="0"/>
                </patternFill>
              </fill>
            </x14:dxf>
          </x14:cfRule>
          <xm:sqref>X159:Y159</xm:sqref>
        </x14:conditionalFormatting>
        <x14:conditionalFormatting xmlns:xm="http://schemas.microsoft.com/office/excel/2006/main">
          <x14:cfRule type="expression" priority="1624" id="{D95FB0B0-9E07-42C2-843E-F1D49A42E140}">
            <xm:f>$Z$8='Assessment Details'!$Q$23</xm:f>
            <x14:dxf>
              <border>
                <left style="thin">
                  <color theme="0"/>
                </left>
                <right style="thin">
                  <color theme="0"/>
                </right>
                <top style="thin">
                  <color theme="0"/>
                </top>
                <bottom style="thin">
                  <color theme="0"/>
                </bottom>
                <vertical/>
                <horizontal/>
              </border>
            </x14:dxf>
          </x14:cfRule>
          <xm:sqref>X159:Y159</xm:sqref>
        </x14:conditionalFormatting>
        <x14:conditionalFormatting xmlns:xm="http://schemas.microsoft.com/office/excel/2006/main">
          <x14:cfRule type="expression" priority="1610" id="{1706D565-566F-42D6-BAE3-C0C23E307B68}">
            <xm:f>$Z$8='Assessment Details'!$Q$23</xm:f>
            <x14:dxf>
              <font>
                <color theme="0"/>
              </font>
              <fill>
                <patternFill>
                  <bgColor theme="0"/>
                </patternFill>
              </fill>
            </x14:dxf>
          </x14:cfRule>
          <xm:sqref>U159</xm:sqref>
        </x14:conditionalFormatting>
        <x14:conditionalFormatting xmlns:xm="http://schemas.microsoft.com/office/excel/2006/main">
          <x14:cfRule type="expression" priority="1609" id="{21586835-502C-4CFF-AF49-D460AAC12459}">
            <xm:f>$Z$8='Assessment Details'!$Q$23</xm:f>
            <x14:dxf>
              <border>
                <left style="thin">
                  <color theme="0"/>
                </left>
                <right style="thin">
                  <color theme="0"/>
                </right>
                <top style="thin">
                  <color theme="0"/>
                </top>
                <bottom style="thin">
                  <color theme="0"/>
                </bottom>
                <vertical/>
                <horizontal/>
              </border>
            </x14:dxf>
          </x14:cfRule>
          <xm:sqref>U159</xm:sqref>
        </x14:conditionalFormatting>
        <x14:conditionalFormatting xmlns:xm="http://schemas.microsoft.com/office/excel/2006/main">
          <x14:cfRule type="expression" priority="1598" id="{FC4F7586-A157-4352-848C-21918EE781A5}">
            <xm:f>$S$8='Assessment Details'!$Q$23</xm:f>
            <x14:dxf>
              <font>
                <color theme="0"/>
              </font>
              <fill>
                <patternFill>
                  <bgColor theme="0"/>
                </patternFill>
              </fill>
              <border>
                <vertical/>
                <horizontal/>
              </border>
            </x14:dxf>
          </x14:cfRule>
          <xm:sqref>N164</xm:sqref>
        </x14:conditionalFormatting>
        <x14:conditionalFormatting xmlns:xm="http://schemas.microsoft.com/office/excel/2006/main">
          <x14:cfRule type="expression" priority="1597" id="{BE8FA228-D559-43BF-B3AC-678B93E9A11F}">
            <xm:f>$S$8='Assessment Details'!$Q$23</xm:f>
            <x14:dxf>
              <border>
                <left style="thin">
                  <color theme="0"/>
                </left>
                <right style="thin">
                  <color theme="0"/>
                </right>
                <top style="thin">
                  <color theme="0"/>
                </top>
                <bottom style="thin">
                  <color theme="0"/>
                </bottom>
                <vertical/>
                <horizontal/>
              </border>
            </x14:dxf>
          </x14:cfRule>
          <xm:sqref>N164</xm:sqref>
        </x14:conditionalFormatting>
        <x14:conditionalFormatting xmlns:xm="http://schemas.microsoft.com/office/excel/2006/main">
          <x14:cfRule type="expression" priority="1596" id="{EC14D7BD-E844-4979-B380-D8772CD6DCDB}">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1595" id="{0235C1C1-06F0-430A-88CE-9E126B07233B}">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1581" id="{69741BF6-D994-441F-9F31-4EBB94ECF11F}">
            <xm:f>$Z$8='Assessment Details'!$Q$23</xm:f>
            <x14:dxf>
              <font>
                <color theme="0"/>
              </font>
              <fill>
                <patternFill>
                  <bgColor theme="0"/>
                </patternFill>
              </fill>
            </x14:dxf>
          </x14:cfRule>
          <xm:sqref>U164</xm:sqref>
        </x14:conditionalFormatting>
        <x14:conditionalFormatting xmlns:xm="http://schemas.microsoft.com/office/excel/2006/main">
          <x14:cfRule type="expression" priority="1580" id="{02E4BBE7-B240-4F9F-BBBB-942D574B4AA0}">
            <xm:f>$Z$8='Assessment Details'!$Q$23</xm:f>
            <x14:dxf>
              <border>
                <left style="thin">
                  <color theme="0"/>
                </left>
                <right style="thin">
                  <color theme="0"/>
                </right>
                <top style="thin">
                  <color theme="0"/>
                </top>
                <bottom style="thin">
                  <color theme="0"/>
                </bottom>
                <vertical/>
                <horizontal/>
              </border>
            </x14:dxf>
          </x14:cfRule>
          <xm:sqref>U164</xm:sqref>
        </x14:conditionalFormatting>
        <x14:conditionalFormatting xmlns:xm="http://schemas.microsoft.com/office/excel/2006/main">
          <x14:cfRule type="expression" priority="1569" id="{EDF6CD3E-34CB-41A5-AB94-6E33CD81E4C7}">
            <xm:f>$S$8='Assessment Details'!$Q$23</xm:f>
            <x14:dxf>
              <font>
                <color theme="0"/>
              </font>
              <fill>
                <patternFill>
                  <bgColor theme="0"/>
                </patternFill>
              </fill>
              <border>
                <vertical/>
                <horizontal/>
              </border>
            </x14:dxf>
          </x14:cfRule>
          <xm:sqref>N168:N169</xm:sqref>
        </x14:conditionalFormatting>
        <x14:conditionalFormatting xmlns:xm="http://schemas.microsoft.com/office/excel/2006/main">
          <x14:cfRule type="expression" priority="1568" id="{4165ED7D-D562-4D22-A6D6-5BBBB0C0E736}">
            <xm:f>$S$8='Assessment Details'!$Q$23</xm:f>
            <x14:dxf>
              <border>
                <left style="thin">
                  <color theme="0"/>
                </left>
                <right style="thin">
                  <color theme="0"/>
                </right>
                <top style="thin">
                  <color theme="0"/>
                </top>
                <bottom style="thin">
                  <color theme="0"/>
                </bottom>
                <vertical/>
                <horizontal/>
              </border>
            </x14:dxf>
          </x14:cfRule>
          <xm:sqref>N168:N169</xm:sqref>
        </x14:conditionalFormatting>
        <x14:conditionalFormatting xmlns:xm="http://schemas.microsoft.com/office/excel/2006/main">
          <x14:cfRule type="expression" priority="1567" id="{F83DBC8E-67E7-43CC-80AB-0026E89AC9CE}">
            <xm:f>$Z$8='Assessment Details'!$Q$23</xm:f>
            <x14:dxf>
              <font>
                <color theme="0"/>
              </font>
              <fill>
                <patternFill>
                  <bgColor theme="0"/>
                </patternFill>
              </fill>
            </x14:dxf>
          </x14:cfRule>
          <xm:sqref>X167:Y169</xm:sqref>
        </x14:conditionalFormatting>
        <x14:conditionalFormatting xmlns:xm="http://schemas.microsoft.com/office/excel/2006/main">
          <x14:cfRule type="expression" priority="1566" id="{C8492064-65F4-49FD-9B25-FC1139F0E4C2}">
            <xm:f>$Z$8='Assessment Details'!$Q$23</xm:f>
            <x14:dxf>
              <border>
                <left style="thin">
                  <color theme="0"/>
                </left>
                <right style="thin">
                  <color theme="0"/>
                </right>
                <top style="thin">
                  <color theme="0"/>
                </top>
                <bottom style="thin">
                  <color theme="0"/>
                </bottom>
                <vertical/>
                <horizontal/>
              </border>
            </x14:dxf>
          </x14:cfRule>
          <xm:sqref>X167:Y169</xm:sqref>
        </x14:conditionalFormatting>
        <x14:conditionalFormatting xmlns:xm="http://schemas.microsoft.com/office/excel/2006/main">
          <x14:cfRule type="expression" priority="1552" id="{025FCD9C-6EC2-4741-BAEA-95D9F8820B1F}">
            <xm:f>$Z$8='Assessment Details'!$Q$23</xm:f>
            <x14:dxf>
              <font>
                <color theme="0"/>
              </font>
              <fill>
                <patternFill>
                  <bgColor theme="0"/>
                </patternFill>
              </fill>
            </x14:dxf>
          </x14:cfRule>
          <xm:sqref>U168:U169</xm:sqref>
        </x14:conditionalFormatting>
        <x14:conditionalFormatting xmlns:xm="http://schemas.microsoft.com/office/excel/2006/main">
          <x14:cfRule type="expression" priority="1551" id="{02EDE805-E77B-4339-9098-9C92ADDA184E}">
            <xm:f>$Z$8='Assessment Details'!$Q$23</xm:f>
            <x14:dxf>
              <border>
                <left style="thin">
                  <color theme="0"/>
                </left>
                <right style="thin">
                  <color theme="0"/>
                </right>
                <top style="thin">
                  <color theme="0"/>
                </top>
                <bottom style="thin">
                  <color theme="0"/>
                </bottom>
                <vertical/>
                <horizontal/>
              </border>
            </x14:dxf>
          </x14:cfRule>
          <xm:sqref>U168:U169</xm:sqref>
        </x14:conditionalFormatting>
        <x14:conditionalFormatting xmlns:xm="http://schemas.microsoft.com/office/excel/2006/main">
          <x14:cfRule type="expression" priority="1540" id="{3D1E988D-03DD-499C-BF68-CF1240BEC228}">
            <xm:f>$S$8='Assessment Details'!$Q$23</xm:f>
            <x14:dxf>
              <font>
                <color theme="0"/>
              </font>
              <fill>
                <patternFill>
                  <bgColor theme="0"/>
                </patternFill>
              </fill>
              <border>
                <vertical/>
                <horizontal/>
              </border>
            </x14:dxf>
          </x14:cfRule>
          <xm:sqref>N172:N173</xm:sqref>
        </x14:conditionalFormatting>
        <x14:conditionalFormatting xmlns:xm="http://schemas.microsoft.com/office/excel/2006/main">
          <x14:cfRule type="expression" priority="1539" id="{FEA7069D-5280-4A3C-A382-371BE113ED55}">
            <xm:f>$S$8='Assessment Details'!$Q$23</xm:f>
            <x14:dxf>
              <border>
                <left style="thin">
                  <color theme="0"/>
                </left>
                <right style="thin">
                  <color theme="0"/>
                </right>
                <top style="thin">
                  <color theme="0"/>
                </top>
                <bottom style="thin">
                  <color theme="0"/>
                </bottom>
                <vertical/>
                <horizontal/>
              </border>
            </x14:dxf>
          </x14:cfRule>
          <xm:sqref>N172:N173</xm:sqref>
        </x14:conditionalFormatting>
        <x14:conditionalFormatting xmlns:xm="http://schemas.microsoft.com/office/excel/2006/main">
          <x14:cfRule type="expression" priority="1523" id="{84F84A84-D28C-4541-BF15-E652C7765B65}">
            <xm:f>$Z$8='Assessment Details'!$Q$23</xm:f>
            <x14:dxf>
              <font>
                <color theme="0"/>
              </font>
              <fill>
                <patternFill>
                  <bgColor theme="0"/>
                </patternFill>
              </fill>
            </x14:dxf>
          </x14:cfRule>
          <xm:sqref>U172:U173</xm:sqref>
        </x14:conditionalFormatting>
        <x14:conditionalFormatting xmlns:xm="http://schemas.microsoft.com/office/excel/2006/main">
          <x14:cfRule type="expression" priority="1522" id="{7B46AC8A-3833-42E8-83A3-338992A82C94}">
            <xm:f>$Z$8='Assessment Details'!$Q$23</xm:f>
            <x14:dxf>
              <border>
                <left style="thin">
                  <color theme="0"/>
                </left>
                <right style="thin">
                  <color theme="0"/>
                </right>
                <top style="thin">
                  <color theme="0"/>
                </top>
                <bottom style="thin">
                  <color theme="0"/>
                </bottom>
                <vertical/>
                <horizontal/>
              </border>
            </x14:dxf>
          </x14:cfRule>
          <xm:sqref>U172:U173</xm:sqref>
        </x14:conditionalFormatting>
        <x14:conditionalFormatting xmlns:xm="http://schemas.microsoft.com/office/excel/2006/main">
          <x14:cfRule type="expression" priority="1511" id="{BCBDE68D-5C79-4E40-A8E9-299017800141}">
            <xm:f>$S$8='Assessment Details'!$Q$23</xm:f>
            <x14:dxf>
              <font>
                <color theme="0"/>
              </font>
              <fill>
                <patternFill>
                  <bgColor theme="0"/>
                </patternFill>
              </fill>
              <border>
                <vertical/>
                <horizontal/>
              </border>
            </x14:dxf>
          </x14:cfRule>
          <xm:sqref>N176:N177</xm:sqref>
        </x14:conditionalFormatting>
        <x14:conditionalFormatting xmlns:xm="http://schemas.microsoft.com/office/excel/2006/main">
          <x14:cfRule type="expression" priority="1510" id="{F639A87B-C88A-4C53-9078-FA0725954127}">
            <xm:f>$S$8='Assessment Details'!$Q$23</xm:f>
            <x14:dxf>
              <border>
                <left style="thin">
                  <color theme="0"/>
                </left>
                <right style="thin">
                  <color theme="0"/>
                </right>
                <top style="thin">
                  <color theme="0"/>
                </top>
                <bottom style="thin">
                  <color theme="0"/>
                </bottom>
                <vertical/>
                <horizontal/>
              </border>
            </x14:dxf>
          </x14:cfRule>
          <xm:sqref>N176:N177</xm:sqref>
        </x14:conditionalFormatting>
        <x14:conditionalFormatting xmlns:xm="http://schemas.microsoft.com/office/excel/2006/main">
          <x14:cfRule type="expression" priority="1509" id="{A521E0BB-96A0-44B1-9940-4AFB6590279F}">
            <xm:f>$Z$8='Assessment Details'!$Q$23</xm:f>
            <x14:dxf>
              <font>
                <color theme="0"/>
              </font>
              <fill>
                <patternFill>
                  <bgColor theme="0"/>
                </patternFill>
              </fill>
            </x14:dxf>
          </x14:cfRule>
          <xm:sqref>X175:Y177</xm:sqref>
        </x14:conditionalFormatting>
        <x14:conditionalFormatting xmlns:xm="http://schemas.microsoft.com/office/excel/2006/main">
          <x14:cfRule type="expression" priority="1508" id="{B4363687-7932-4F7E-886B-EF390D51CCD1}">
            <xm:f>$Z$8='Assessment Details'!$Q$23</xm:f>
            <x14:dxf>
              <border>
                <left style="thin">
                  <color theme="0"/>
                </left>
                <right style="thin">
                  <color theme="0"/>
                </right>
                <top style="thin">
                  <color theme="0"/>
                </top>
                <bottom style="thin">
                  <color theme="0"/>
                </bottom>
                <vertical/>
                <horizontal/>
              </border>
            </x14:dxf>
          </x14:cfRule>
          <xm:sqref>X175:Y177</xm:sqref>
        </x14:conditionalFormatting>
        <x14:conditionalFormatting xmlns:xm="http://schemas.microsoft.com/office/excel/2006/main">
          <x14:cfRule type="expression" priority="1494" id="{8A2EF026-7281-4B89-ACE1-B4C4019A2A77}">
            <xm:f>$Z$8='Assessment Details'!$Q$23</xm:f>
            <x14:dxf>
              <font>
                <color theme="0"/>
              </font>
              <fill>
                <patternFill>
                  <bgColor theme="0"/>
                </patternFill>
              </fill>
            </x14:dxf>
          </x14:cfRule>
          <xm:sqref>U176:U177</xm:sqref>
        </x14:conditionalFormatting>
        <x14:conditionalFormatting xmlns:xm="http://schemas.microsoft.com/office/excel/2006/main">
          <x14:cfRule type="expression" priority="1493" id="{A8B954CC-158D-484A-816B-BD9CF8639B81}">
            <xm:f>$Z$8='Assessment Details'!$Q$23</xm:f>
            <x14:dxf>
              <border>
                <left style="thin">
                  <color theme="0"/>
                </left>
                <right style="thin">
                  <color theme="0"/>
                </right>
                <top style="thin">
                  <color theme="0"/>
                </top>
                <bottom style="thin">
                  <color theme="0"/>
                </bottom>
                <vertical/>
                <horizontal/>
              </border>
            </x14:dxf>
          </x14:cfRule>
          <xm:sqref>U176:U177</xm:sqref>
        </x14:conditionalFormatting>
        <x14:conditionalFormatting xmlns:xm="http://schemas.microsoft.com/office/excel/2006/main">
          <x14:cfRule type="expression" priority="1482" id="{0841C3A7-48E6-4EF1-8BD3-2A7D424CCA2D}">
            <xm:f>$S$8='Assessment Details'!$Q$23</xm:f>
            <x14:dxf>
              <font>
                <color theme="0"/>
              </font>
              <fill>
                <patternFill>
                  <bgColor theme="0"/>
                </patternFill>
              </fill>
              <border>
                <vertical/>
                <horizontal/>
              </border>
            </x14:dxf>
          </x14:cfRule>
          <xm:sqref>N180:N181</xm:sqref>
        </x14:conditionalFormatting>
        <x14:conditionalFormatting xmlns:xm="http://schemas.microsoft.com/office/excel/2006/main">
          <x14:cfRule type="expression" priority="1481" id="{47373EDA-C443-45B9-8151-C85D11428738}">
            <xm:f>$S$8='Assessment Details'!$Q$23</xm:f>
            <x14:dxf>
              <border>
                <left style="thin">
                  <color theme="0"/>
                </left>
                <right style="thin">
                  <color theme="0"/>
                </right>
                <top style="thin">
                  <color theme="0"/>
                </top>
                <bottom style="thin">
                  <color theme="0"/>
                </bottom>
                <vertical/>
                <horizontal/>
              </border>
            </x14:dxf>
          </x14:cfRule>
          <xm:sqref>N180:N181</xm:sqref>
        </x14:conditionalFormatting>
        <x14:conditionalFormatting xmlns:xm="http://schemas.microsoft.com/office/excel/2006/main">
          <x14:cfRule type="expression" priority="1480" id="{89B486E7-ED01-4277-90ED-A95F4EC43ABD}">
            <xm:f>$Z$8='Assessment Details'!$Q$23</xm:f>
            <x14:dxf>
              <font>
                <color theme="0"/>
              </font>
              <fill>
                <patternFill>
                  <bgColor theme="0"/>
                </patternFill>
              </fill>
            </x14:dxf>
          </x14:cfRule>
          <xm:sqref>X179:Y181</xm:sqref>
        </x14:conditionalFormatting>
        <x14:conditionalFormatting xmlns:xm="http://schemas.microsoft.com/office/excel/2006/main">
          <x14:cfRule type="expression" priority="1479" id="{36E04BD1-C39C-4724-8F27-3B7345215037}">
            <xm:f>$Z$8='Assessment Details'!$Q$23</xm:f>
            <x14:dxf>
              <border>
                <left style="thin">
                  <color theme="0"/>
                </left>
                <right style="thin">
                  <color theme="0"/>
                </right>
                <top style="thin">
                  <color theme="0"/>
                </top>
                <bottom style="thin">
                  <color theme="0"/>
                </bottom>
                <vertical/>
                <horizontal/>
              </border>
            </x14:dxf>
          </x14:cfRule>
          <xm:sqref>X179:Y181</xm:sqref>
        </x14:conditionalFormatting>
        <x14:conditionalFormatting xmlns:xm="http://schemas.microsoft.com/office/excel/2006/main">
          <x14:cfRule type="expression" priority="1465" id="{F70FDA20-731E-4AF8-AFE8-7C3957D6DB58}">
            <xm:f>$Z$8='Assessment Details'!$Q$23</xm:f>
            <x14:dxf>
              <font>
                <color theme="0"/>
              </font>
              <fill>
                <patternFill>
                  <bgColor theme="0"/>
                </patternFill>
              </fill>
            </x14:dxf>
          </x14:cfRule>
          <xm:sqref>U180:U181</xm:sqref>
        </x14:conditionalFormatting>
        <x14:conditionalFormatting xmlns:xm="http://schemas.microsoft.com/office/excel/2006/main">
          <x14:cfRule type="expression" priority="1464" id="{90EF81F3-F7FF-48CC-BDA8-A145075B8D70}">
            <xm:f>$Z$8='Assessment Details'!$Q$23</xm:f>
            <x14:dxf>
              <border>
                <left style="thin">
                  <color theme="0"/>
                </left>
                <right style="thin">
                  <color theme="0"/>
                </right>
                <top style="thin">
                  <color theme="0"/>
                </top>
                <bottom style="thin">
                  <color theme="0"/>
                </bottom>
                <vertical/>
                <horizontal/>
              </border>
            </x14:dxf>
          </x14:cfRule>
          <xm:sqref>U180:U181</xm:sqref>
        </x14:conditionalFormatting>
        <x14:conditionalFormatting xmlns:xm="http://schemas.microsoft.com/office/excel/2006/main">
          <x14:cfRule type="expression" priority="1453" id="{E871B02C-4848-4F5F-92CF-340A21D6C286}">
            <xm:f>$S$8='Assessment Details'!$Q$23</xm:f>
            <x14:dxf>
              <font>
                <color theme="0"/>
              </font>
              <fill>
                <patternFill>
                  <bgColor theme="0"/>
                </patternFill>
              </fill>
              <border>
                <vertical/>
                <horizontal/>
              </border>
            </x14:dxf>
          </x14:cfRule>
          <xm:sqref>N183</xm:sqref>
        </x14:conditionalFormatting>
        <x14:conditionalFormatting xmlns:xm="http://schemas.microsoft.com/office/excel/2006/main">
          <x14:cfRule type="expression" priority="1452" id="{5B227801-2A9F-4CD2-92E4-A213D0C938B8}">
            <xm:f>$S$8='Assessment Details'!$Q$23</xm:f>
            <x14:dxf>
              <border>
                <left style="thin">
                  <color theme="0"/>
                </left>
                <right style="thin">
                  <color theme="0"/>
                </right>
                <top style="thin">
                  <color theme="0"/>
                </top>
                <bottom style="thin">
                  <color theme="0"/>
                </bottom>
                <vertical/>
                <horizontal/>
              </border>
            </x14:dxf>
          </x14:cfRule>
          <xm:sqref>N183</xm:sqref>
        </x14:conditionalFormatting>
        <x14:conditionalFormatting xmlns:xm="http://schemas.microsoft.com/office/excel/2006/main">
          <x14:cfRule type="expression" priority="1451" id="{E25EE285-D422-4F6A-B1DC-FD770294A9B3}">
            <xm:f>$Z$8='Assessment Details'!$Q$23</xm:f>
            <x14:dxf>
              <font>
                <color theme="0"/>
              </font>
              <fill>
                <patternFill>
                  <bgColor theme="0"/>
                </patternFill>
              </fill>
            </x14:dxf>
          </x14:cfRule>
          <xm:sqref>X183:Y183</xm:sqref>
        </x14:conditionalFormatting>
        <x14:conditionalFormatting xmlns:xm="http://schemas.microsoft.com/office/excel/2006/main">
          <x14:cfRule type="expression" priority="1450" id="{F016B8F4-5F99-46F2-82A2-602D0188A024}">
            <xm:f>$Z$8='Assessment Details'!$Q$23</xm:f>
            <x14:dxf>
              <border>
                <left style="thin">
                  <color theme="0"/>
                </left>
                <right style="thin">
                  <color theme="0"/>
                </right>
                <top style="thin">
                  <color theme="0"/>
                </top>
                <bottom style="thin">
                  <color theme="0"/>
                </bottom>
                <vertical/>
                <horizontal/>
              </border>
            </x14:dxf>
          </x14:cfRule>
          <xm:sqref>X183:Y183</xm:sqref>
        </x14:conditionalFormatting>
        <x14:conditionalFormatting xmlns:xm="http://schemas.microsoft.com/office/excel/2006/main">
          <x14:cfRule type="expression" priority="1436" id="{EC96F803-68EB-422C-85D3-F19E95C35C07}">
            <xm:f>$Z$8='Assessment Details'!$Q$23</xm:f>
            <x14:dxf>
              <font>
                <color theme="0"/>
              </font>
              <fill>
                <patternFill>
                  <bgColor theme="0"/>
                </patternFill>
              </fill>
            </x14:dxf>
          </x14:cfRule>
          <xm:sqref>U183</xm:sqref>
        </x14:conditionalFormatting>
        <x14:conditionalFormatting xmlns:xm="http://schemas.microsoft.com/office/excel/2006/main">
          <x14:cfRule type="expression" priority="1435" id="{5CFF3259-D6B5-403F-B1C7-61A200BA1D99}">
            <xm:f>$Z$8='Assessment Details'!$Q$23</xm:f>
            <x14:dxf>
              <border>
                <left style="thin">
                  <color theme="0"/>
                </left>
                <right style="thin">
                  <color theme="0"/>
                </right>
                <top style="thin">
                  <color theme="0"/>
                </top>
                <bottom style="thin">
                  <color theme="0"/>
                </bottom>
                <vertical/>
                <horizontal/>
              </border>
            </x14:dxf>
          </x14:cfRule>
          <xm:sqref>U183</xm:sqref>
        </x14:conditionalFormatting>
        <x14:conditionalFormatting xmlns:xm="http://schemas.microsoft.com/office/excel/2006/main">
          <x14:cfRule type="expression" priority="1424" id="{ADD3DFAA-D862-422F-9749-96EA4A90B76A}">
            <xm:f>$S$8='Assessment Details'!$Q$23</xm:f>
            <x14:dxf>
              <font>
                <color theme="0"/>
              </font>
              <fill>
                <patternFill>
                  <bgColor theme="0"/>
                </patternFill>
              </fill>
              <border>
                <vertical/>
                <horizontal/>
              </border>
            </x14:dxf>
          </x14:cfRule>
          <xm:sqref>N186</xm:sqref>
        </x14:conditionalFormatting>
        <x14:conditionalFormatting xmlns:xm="http://schemas.microsoft.com/office/excel/2006/main">
          <x14:cfRule type="expression" priority="1423" id="{B6AEE161-B105-452E-96A6-8641765D499B}">
            <xm:f>$S$8='Assessment Details'!$Q$23</xm:f>
            <x14:dxf>
              <border>
                <left style="thin">
                  <color theme="0"/>
                </left>
                <right style="thin">
                  <color theme="0"/>
                </right>
                <top style="thin">
                  <color theme="0"/>
                </top>
                <bottom style="thin">
                  <color theme="0"/>
                </bottom>
                <vertical/>
                <horizontal/>
              </border>
            </x14:dxf>
          </x14:cfRule>
          <xm:sqref>N186</xm:sqref>
        </x14:conditionalFormatting>
        <x14:conditionalFormatting xmlns:xm="http://schemas.microsoft.com/office/excel/2006/main">
          <x14:cfRule type="expression" priority="1422" id="{9AF9090A-A1EA-44E8-819A-714C5BE9399D}">
            <xm:f>$Z$8='Assessment Details'!$Q$23</xm:f>
            <x14:dxf>
              <font>
                <color theme="0"/>
              </font>
              <fill>
                <patternFill>
                  <bgColor theme="0"/>
                </patternFill>
              </fill>
            </x14:dxf>
          </x14:cfRule>
          <xm:sqref>X185:Y186</xm:sqref>
        </x14:conditionalFormatting>
        <x14:conditionalFormatting xmlns:xm="http://schemas.microsoft.com/office/excel/2006/main">
          <x14:cfRule type="expression" priority="1421" id="{4B4AE711-7F1F-459C-9292-6A6A78C33432}">
            <xm:f>$Z$8='Assessment Details'!$Q$23</xm:f>
            <x14:dxf>
              <border>
                <left style="thin">
                  <color theme="0"/>
                </left>
                <right style="thin">
                  <color theme="0"/>
                </right>
                <top style="thin">
                  <color theme="0"/>
                </top>
                <bottom style="thin">
                  <color theme="0"/>
                </bottom>
                <vertical/>
                <horizontal/>
              </border>
            </x14:dxf>
          </x14:cfRule>
          <xm:sqref>X185:Y186</xm:sqref>
        </x14:conditionalFormatting>
        <x14:conditionalFormatting xmlns:xm="http://schemas.microsoft.com/office/excel/2006/main">
          <x14:cfRule type="expression" priority="1407" id="{70F5CD5D-7755-4A45-89FE-FC8A883E6DC2}">
            <xm:f>$Z$8='Assessment Details'!$Q$23</xm:f>
            <x14:dxf>
              <font>
                <color theme="0"/>
              </font>
              <fill>
                <patternFill>
                  <bgColor theme="0"/>
                </patternFill>
              </fill>
            </x14:dxf>
          </x14:cfRule>
          <xm:sqref>U186</xm:sqref>
        </x14:conditionalFormatting>
        <x14:conditionalFormatting xmlns:xm="http://schemas.microsoft.com/office/excel/2006/main">
          <x14:cfRule type="expression" priority="1406" id="{51F44447-A560-4C68-AFA9-48659A9FC49A}">
            <xm:f>$Z$8='Assessment Details'!$Q$23</xm:f>
            <x14:dxf>
              <border>
                <left style="thin">
                  <color theme="0"/>
                </left>
                <right style="thin">
                  <color theme="0"/>
                </right>
                <top style="thin">
                  <color theme="0"/>
                </top>
                <bottom style="thin">
                  <color theme="0"/>
                </bottom>
                <vertical/>
                <horizontal/>
              </border>
            </x14:dxf>
          </x14:cfRule>
          <xm:sqref>U186</xm:sqref>
        </x14:conditionalFormatting>
        <x14:conditionalFormatting xmlns:xm="http://schemas.microsoft.com/office/excel/2006/main">
          <x14:cfRule type="expression" priority="1395" id="{3AFD6779-953D-424A-9968-4E7E05952675}">
            <xm:f>$S$8='Assessment Details'!$Q$23</xm:f>
            <x14:dxf>
              <font>
                <color theme="0"/>
              </font>
              <fill>
                <patternFill>
                  <bgColor theme="0"/>
                </patternFill>
              </fill>
              <border>
                <vertical/>
                <horizontal/>
              </border>
            </x14:dxf>
          </x14:cfRule>
          <xm:sqref>N189:N191</xm:sqref>
        </x14:conditionalFormatting>
        <x14:conditionalFormatting xmlns:xm="http://schemas.microsoft.com/office/excel/2006/main">
          <x14:cfRule type="expression" priority="1394" id="{0FB74762-1D3E-4B2F-BA18-E2EDB089150D}">
            <xm:f>$S$8='Assessment Details'!$Q$23</xm:f>
            <x14:dxf>
              <border>
                <left style="thin">
                  <color theme="0"/>
                </left>
                <right style="thin">
                  <color theme="0"/>
                </right>
                <top style="thin">
                  <color theme="0"/>
                </top>
                <bottom style="thin">
                  <color theme="0"/>
                </bottom>
                <vertical/>
                <horizontal/>
              </border>
            </x14:dxf>
          </x14:cfRule>
          <xm:sqref>N189:N191</xm:sqref>
        </x14:conditionalFormatting>
        <x14:conditionalFormatting xmlns:xm="http://schemas.microsoft.com/office/excel/2006/main">
          <x14:cfRule type="expression" priority="1393" id="{12FE712B-FA74-4B7D-9AE3-59C41D8B7D36}">
            <xm:f>$Z$8='Assessment Details'!$Q$23</xm:f>
            <x14:dxf>
              <font>
                <color theme="0"/>
              </font>
              <fill>
                <patternFill>
                  <bgColor theme="0"/>
                </patternFill>
              </fill>
            </x14:dxf>
          </x14:cfRule>
          <xm:sqref>X188:Y191</xm:sqref>
        </x14:conditionalFormatting>
        <x14:conditionalFormatting xmlns:xm="http://schemas.microsoft.com/office/excel/2006/main">
          <x14:cfRule type="expression" priority="1392" id="{E8B9DDCA-44DF-4858-BD32-C2B56BD428AC}">
            <xm:f>$Z$8='Assessment Details'!$Q$23</xm:f>
            <x14:dxf>
              <border>
                <left style="thin">
                  <color theme="0"/>
                </left>
                <right style="thin">
                  <color theme="0"/>
                </right>
                <top style="thin">
                  <color theme="0"/>
                </top>
                <bottom style="thin">
                  <color theme="0"/>
                </bottom>
                <vertical/>
                <horizontal/>
              </border>
            </x14:dxf>
          </x14:cfRule>
          <xm:sqref>X188:Y191</xm:sqref>
        </x14:conditionalFormatting>
        <x14:conditionalFormatting xmlns:xm="http://schemas.microsoft.com/office/excel/2006/main">
          <x14:cfRule type="expression" priority="1378" id="{9252695C-FA9D-4E90-99FE-9DC43D65F3D3}">
            <xm:f>$Z$8='Assessment Details'!$Q$23</xm:f>
            <x14:dxf>
              <font>
                <color theme="0"/>
              </font>
              <fill>
                <patternFill>
                  <bgColor theme="0"/>
                </patternFill>
              </fill>
            </x14:dxf>
          </x14:cfRule>
          <xm:sqref>U189:U191</xm:sqref>
        </x14:conditionalFormatting>
        <x14:conditionalFormatting xmlns:xm="http://schemas.microsoft.com/office/excel/2006/main">
          <x14:cfRule type="expression" priority="1377" id="{9CAC2D9D-4057-4AD9-A2F4-198BB19A971B}">
            <xm:f>$Z$8='Assessment Details'!$Q$23</xm:f>
            <x14:dxf>
              <border>
                <left style="thin">
                  <color theme="0"/>
                </left>
                <right style="thin">
                  <color theme="0"/>
                </right>
                <top style="thin">
                  <color theme="0"/>
                </top>
                <bottom style="thin">
                  <color theme="0"/>
                </bottom>
                <vertical/>
                <horizontal/>
              </border>
            </x14:dxf>
          </x14:cfRule>
          <xm:sqref>U189:U191</xm:sqref>
        </x14:conditionalFormatting>
        <x14:conditionalFormatting xmlns:xm="http://schemas.microsoft.com/office/excel/2006/main">
          <x14:cfRule type="expression" priority="1366" id="{B208A544-0E3C-4663-BA8B-0FD277FB4633}">
            <xm:f>$S$8='Assessment Details'!$Q$23</xm:f>
            <x14:dxf>
              <font>
                <color theme="0"/>
              </font>
              <fill>
                <patternFill>
                  <bgColor theme="0"/>
                </patternFill>
              </fill>
              <border>
                <vertical/>
                <horizontal/>
              </border>
            </x14:dxf>
          </x14:cfRule>
          <xm:sqref>N196</xm:sqref>
        </x14:conditionalFormatting>
        <x14:conditionalFormatting xmlns:xm="http://schemas.microsoft.com/office/excel/2006/main">
          <x14:cfRule type="expression" priority="1365" id="{54770062-B715-4AE7-AD74-84D67EC38AF3}">
            <xm:f>$S$8='Assessment Details'!$Q$23</xm:f>
            <x14:dxf>
              <border>
                <left style="thin">
                  <color theme="0"/>
                </left>
                <right style="thin">
                  <color theme="0"/>
                </right>
                <top style="thin">
                  <color theme="0"/>
                </top>
                <bottom style="thin">
                  <color theme="0"/>
                </bottom>
                <vertical/>
                <horizontal/>
              </border>
            </x14:dxf>
          </x14:cfRule>
          <xm:sqref>N196</xm:sqref>
        </x14:conditionalFormatting>
        <x14:conditionalFormatting xmlns:xm="http://schemas.microsoft.com/office/excel/2006/main">
          <x14:cfRule type="expression" priority="1364" id="{0ECEAA33-0EF7-4CA2-98BD-FC7068A6CCC7}">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1363" id="{6348EF24-9E8A-43B3-83B4-BF7DAEF8577C}">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1349" id="{84D6D612-6AF0-4402-BF39-DFE97A33E5E8}">
            <xm:f>$Z$8='Assessment Details'!$Q$23</xm:f>
            <x14:dxf>
              <font>
                <color theme="0"/>
              </font>
              <fill>
                <patternFill>
                  <bgColor theme="0"/>
                </patternFill>
              </fill>
            </x14:dxf>
          </x14:cfRule>
          <xm:sqref>U196</xm:sqref>
        </x14:conditionalFormatting>
        <x14:conditionalFormatting xmlns:xm="http://schemas.microsoft.com/office/excel/2006/main">
          <x14:cfRule type="expression" priority="1348" id="{6AF589B5-841E-4955-967B-DDB6455B0222}">
            <xm:f>$Z$8='Assessment Details'!$Q$23</xm:f>
            <x14:dxf>
              <border>
                <left style="thin">
                  <color theme="0"/>
                </left>
                <right style="thin">
                  <color theme="0"/>
                </right>
                <top style="thin">
                  <color theme="0"/>
                </top>
                <bottom style="thin">
                  <color theme="0"/>
                </bottom>
                <vertical/>
                <horizontal/>
              </border>
            </x14:dxf>
          </x14:cfRule>
          <xm:sqref>U196</xm:sqref>
        </x14:conditionalFormatting>
        <x14:conditionalFormatting xmlns:xm="http://schemas.microsoft.com/office/excel/2006/main">
          <x14:cfRule type="expression" priority="1337" id="{680C9B30-37B3-4797-A8FC-161D3F09DDD1}">
            <xm:f>$S$8='Assessment Details'!$Q$23</xm:f>
            <x14:dxf>
              <font>
                <color theme="0"/>
              </font>
              <fill>
                <patternFill>
                  <bgColor theme="0"/>
                </patternFill>
              </fill>
              <border>
                <vertical/>
                <horizontal/>
              </border>
            </x14:dxf>
          </x14:cfRule>
          <xm:sqref>N201:N202</xm:sqref>
        </x14:conditionalFormatting>
        <x14:conditionalFormatting xmlns:xm="http://schemas.microsoft.com/office/excel/2006/main">
          <x14:cfRule type="expression" priority="1336" id="{AE7630F1-E9A4-4A8E-8513-61D2B0D218BD}">
            <xm:f>$S$8='Assessment Details'!$Q$23</xm:f>
            <x14:dxf>
              <border>
                <left style="thin">
                  <color theme="0"/>
                </left>
                <right style="thin">
                  <color theme="0"/>
                </right>
                <top style="thin">
                  <color theme="0"/>
                </top>
                <bottom style="thin">
                  <color theme="0"/>
                </bottom>
                <vertical/>
                <horizontal/>
              </border>
            </x14:dxf>
          </x14:cfRule>
          <xm:sqref>N201:N202</xm:sqref>
        </x14:conditionalFormatting>
        <x14:conditionalFormatting xmlns:xm="http://schemas.microsoft.com/office/excel/2006/main">
          <x14:cfRule type="expression" priority="1335" id="{3957C064-5083-431A-AC50-6D6297886495}">
            <xm:f>$Z$8='Assessment Details'!$Q$23</xm:f>
            <x14:dxf>
              <font>
                <color theme="0"/>
              </font>
              <fill>
                <patternFill>
                  <bgColor theme="0"/>
                </patternFill>
              </fill>
            </x14:dxf>
          </x14:cfRule>
          <xm:sqref>X201:Y202</xm:sqref>
        </x14:conditionalFormatting>
        <x14:conditionalFormatting xmlns:xm="http://schemas.microsoft.com/office/excel/2006/main">
          <x14:cfRule type="expression" priority="1334" id="{FE2904CF-7A9A-4A28-8B4E-E103FAFFB6AE}">
            <xm:f>$Z$8='Assessment Details'!$Q$23</xm:f>
            <x14:dxf>
              <border>
                <left style="thin">
                  <color theme="0"/>
                </left>
                <right style="thin">
                  <color theme="0"/>
                </right>
                <top style="thin">
                  <color theme="0"/>
                </top>
                <bottom style="thin">
                  <color theme="0"/>
                </bottom>
                <vertical/>
                <horizontal/>
              </border>
            </x14:dxf>
          </x14:cfRule>
          <xm:sqref>X201:Y202</xm:sqref>
        </x14:conditionalFormatting>
        <x14:conditionalFormatting xmlns:xm="http://schemas.microsoft.com/office/excel/2006/main">
          <x14:cfRule type="expression" priority="1320" id="{99BF82AF-6DDE-4C97-9EDE-55F2D2148B47}">
            <xm:f>$Z$8='Assessment Details'!$Q$23</xm:f>
            <x14:dxf>
              <font>
                <color theme="0"/>
              </font>
              <fill>
                <patternFill>
                  <bgColor theme="0"/>
                </patternFill>
              </fill>
            </x14:dxf>
          </x14:cfRule>
          <xm:sqref>U201:U202</xm:sqref>
        </x14:conditionalFormatting>
        <x14:conditionalFormatting xmlns:xm="http://schemas.microsoft.com/office/excel/2006/main">
          <x14:cfRule type="expression" priority="1319" id="{786C99D9-805D-4EC4-AAA5-946042835C3F}">
            <xm:f>$Z$8='Assessment Details'!$Q$23</xm:f>
            <x14:dxf>
              <border>
                <left style="thin">
                  <color theme="0"/>
                </left>
                <right style="thin">
                  <color theme="0"/>
                </right>
                <top style="thin">
                  <color theme="0"/>
                </top>
                <bottom style="thin">
                  <color theme="0"/>
                </bottom>
                <vertical/>
                <horizontal/>
              </border>
            </x14:dxf>
          </x14:cfRule>
          <xm:sqref>U201:U202</xm:sqref>
        </x14:conditionalFormatting>
        <x14:conditionalFormatting xmlns:xm="http://schemas.microsoft.com/office/excel/2006/main">
          <x14:cfRule type="expression" priority="1308" id="{EA46645F-FDB6-46DD-AF04-1ACC11A62A19}">
            <xm:f>$S$8='Assessment Details'!$Q$23</xm:f>
            <x14:dxf>
              <font>
                <color theme="0"/>
              </font>
              <fill>
                <patternFill>
                  <bgColor theme="0"/>
                </patternFill>
              </fill>
              <border>
                <vertical/>
                <horizontal/>
              </border>
            </x14:dxf>
          </x14:cfRule>
          <xm:sqref>N204:N205</xm:sqref>
        </x14:conditionalFormatting>
        <x14:conditionalFormatting xmlns:xm="http://schemas.microsoft.com/office/excel/2006/main">
          <x14:cfRule type="expression" priority="1307" id="{D8E5C5B9-67F1-4EFA-AAF7-A49BD24BB822}">
            <xm:f>$S$8='Assessment Details'!$Q$23</xm:f>
            <x14:dxf>
              <border>
                <left style="thin">
                  <color theme="0"/>
                </left>
                <right style="thin">
                  <color theme="0"/>
                </right>
                <top style="thin">
                  <color theme="0"/>
                </top>
                <bottom style="thin">
                  <color theme="0"/>
                </bottom>
                <vertical/>
                <horizontal/>
              </border>
            </x14:dxf>
          </x14:cfRule>
          <xm:sqref>N204:N205</xm:sqref>
        </x14:conditionalFormatting>
        <x14:conditionalFormatting xmlns:xm="http://schemas.microsoft.com/office/excel/2006/main">
          <x14:cfRule type="expression" priority="1306" id="{07B8799B-6971-4378-B289-9A4994B8B5F7}">
            <xm:f>$Z$8='Assessment Details'!$Q$23</xm:f>
            <x14:dxf>
              <font>
                <color theme="0"/>
              </font>
              <fill>
                <patternFill>
                  <bgColor theme="0"/>
                </patternFill>
              </fill>
            </x14:dxf>
          </x14:cfRule>
          <xm:sqref>X204:Y205</xm:sqref>
        </x14:conditionalFormatting>
        <x14:conditionalFormatting xmlns:xm="http://schemas.microsoft.com/office/excel/2006/main">
          <x14:cfRule type="expression" priority="1305" id="{F6392F3B-C379-4DBE-BEC1-F94861634129}">
            <xm:f>$Z$8='Assessment Details'!$Q$23</xm:f>
            <x14:dxf>
              <border>
                <left style="thin">
                  <color theme="0"/>
                </left>
                <right style="thin">
                  <color theme="0"/>
                </right>
                <top style="thin">
                  <color theme="0"/>
                </top>
                <bottom style="thin">
                  <color theme="0"/>
                </bottom>
                <vertical/>
                <horizontal/>
              </border>
            </x14:dxf>
          </x14:cfRule>
          <xm:sqref>X204:Y205</xm:sqref>
        </x14:conditionalFormatting>
        <x14:conditionalFormatting xmlns:xm="http://schemas.microsoft.com/office/excel/2006/main">
          <x14:cfRule type="expression" priority="1291" id="{227D99A2-8A89-4449-B850-632A63640735}">
            <xm:f>$Z$8='Assessment Details'!$Q$23</xm:f>
            <x14:dxf>
              <font>
                <color theme="0"/>
              </font>
              <fill>
                <patternFill>
                  <bgColor theme="0"/>
                </patternFill>
              </fill>
            </x14:dxf>
          </x14:cfRule>
          <xm:sqref>U204:U205</xm:sqref>
        </x14:conditionalFormatting>
        <x14:conditionalFormatting xmlns:xm="http://schemas.microsoft.com/office/excel/2006/main">
          <x14:cfRule type="expression" priority="1290" id="{ED8048D2-72D6-46EC-B068-FC4231F93B04}">
            <xm:f>$Z$8='Assessment Details'!$Q$23</xm:f>
            <x14:dxf>
              <border>
                <left style="thin">
                  <color theme="0"/>
                </left>
                <right style="thin">
                  <color theme="0"/>
                </right>
                <top style="thin">
                  <color theme="0"/>
                </top>
                <bottom style="thin">
                  <color theme="0"/>
                </bottom>
                <vertical/>
                <horizontal/>
              </border>
            </x14:dxf>
          </x14:cfRule>
          <xm:sqref>U204:U205</xm:sqref>
        </x14:conditionalFormatting>
        <x14:conditionalFormatting xmlns:xm="http://schemas.microsoft.com/office/excel/2006/main">
          <x14:cfRule type="expression" priority="1279" id="{3B117DA8-9379-4B2E-8949-4302D2DFF4CA}">
            <xm:f>$S$8='Assessment Details'!$Q$23</xm:f>
            <x14:dxf>
              <font>
                <color theme="0"/>
              </font>
              <fill>
                <patternFill>
                  <bgColor theme="0"/>
                </patternFill>
              </fill>
              <border>
                <vertical/>
                <horizontal/>
              </border>
            </x14:dxf>
          </x14:cfRule>
          <xm:sqref>N207:N208</xm:sqref>
        </x14:conditionalFormatting>
        <x14:conditionalFormatting xmlns:xm="http://schemas.microsoft.com/office/excel/2006/main">
          <x14:cfRule type="expression" priority="1278" id="{59458F57-A529-4C23-A8EF-65BECC09D98B}">
            <xm:f>$S$8='Assessment Details'!$Q$23</xm:f>
            <x14:dxf>
              <border>
                <left style="thin">
                  <color theme="0"/>
                </left>
                <right style="thin">
                  <color theme="0"/>
                </right>
                <top style="thin">
                  <color theme="0"/>
                </top>
                <bottom style="thin">
                  <color theme="0"/>
                </bottom>
                <vertical/>
                <horizontal/>
              </border>
            </x14:dxf>
          </x14:cfRule>
          <xm:sqref>N207:N208</xm:sqref>
        </x14:conditionalFormatting>
        <x14:conditionalFormatting xmlns:xm="http://schemas.microsoft.com/office/excel/2006/main">
          <x14:cfRule type="expression" priority="1277" id="{14512774-9395-4789-B891-50B6BA153938}">
            <xm:f>$Z$8='Assessment Details'!$Q$23</xm:f>
            <x14:dxf>
              <font>
                <color theme="0"/>
              </font>
              <fill>
                <patternFill>
                  <bgColor theme="0"/>
                </patternFill>
              </fill>
            </x14:dxf>
          </x14:cfRule>
          <xm:sqref>X207:Y208</xm:sqref>
        </x14:conditionalFormatting>
        <x14:conditionalFormatting xmlns:xm="http://schemas.microsoft.com/office/excel/2006/main">
          <x14:cfRule type="expression" priority="1276" id="{50CB0CD0-203C-47B4-BFB4-C39E6228CBE2}">
            <xm:f>$Z$8='Assessment Details'!$Q$23</xm:f>
            <x14:dxf>
              <border>
                <left style="thin">
                  <color theme="0"/>
                </left>
                <right style="thin">
                  <color theme="0"/>
                </right>
                <top style="thin">
                  <color theme="0"/>
                </top>
                <bottom style="thin">
                  <color theme="0"/>
                </bottom>
                <vertical/>
                <horizontal/>
              </border>
            </x14:dxf>
          </x14:cfRule>
          <xm:sqref>X207:Y208</xm:sqref>
        </x14:conditionalFormatting>
        <x14:conditionalFormatting xmlns:xm="http://schemas.microsoft.com/office/excel/2006/main">
          <x14:cfRule type="expression" priority="1262" id="{6DDE72B5-2604-4E19-B4C4-BDDED8942872}">
            <xm:f>$Z$8='Assessment Details'!$Q$23</xm:f>
            <x14:dxf>
              <font>
                <color theme="0"/>
              </font>
              <fill>
                <patternFill>
                  <bgColor theme="0"/>
                </patternFill>
              </fill>
            </x14:dxf>
          </x14:cfRule>
          <xm:sqref>U207:U208</xm:sqref>
        </x14:conditionalFormatting>
        <x14:conditionalFormatting xmlns:xm="http://schemas.microsoft.com/office/excel/2006/main">
          <x14:cfRule type="expression" priority="1220" id="{13F0E4D5-5D84-457B-833F-A9C88335247C}">
            <xm:f>$S$8='Assessment Details'!$Q$23</xm:f>
            <x14:dxf>
              <font>
                <color theme="0"/>
              </font>
              <fill>
                <patternFill>
                  <bgColor theme="0"/>
                </patternFill>
              </fill>
              <border>
                <vertical/>
                <horizontal/>
              </border>
            </x14:dxf>
          </x14:cfRule>
          <xm:sqref>N225</xm:sqref>
        </x14:conditionalFormatting>
        <x14:conditionalFormatting xmlns:xm="http://schemas.microsoft.com/office/excel/2006/main">
          <x14:cfRule type="expression" priority="1219" id="{2015831A-B28A-425A-ABEB-1D83A788414C}">
            <xm:f>$S$8='Assessment Details'!$Q$23</xm:f>
            <x14:dxf>
              <border>
                <left style="thin">
                  <color theme="0"/>
                </left>
                <right style="thin">
                  <color theme="0"/>
                </right>
                <top style="thin">
                  <color theme="0"/>
                </top>
                <bottom style="thin">
                  <color theme="0"/>
                </bottom>
                <vertical/>
                <horizontal/>
              </border>
            </x14:dxf>
          </x14:cfRule>
          <xm:sqref>N225</xm:sqref>
        </x14:conditionalFormatting>
        <x14:conditionalFormatting xmlns:xm="http://schemas.microsoft.com/office/excel/2006/main">
          <x14:cfRule type="expression" priority="1218" id="{D1978515-543D-41B4-9725-0FF87B793AA6}">
            <xm:f>$Z$8='Assessment Details'!$Q$23</xm:f>
            <x14:dxf>
              <font>
                <color theme="0"/>
              </font>
              <fill>
                <patternFill>
                  <bgColor theme="0"/>
                </patternFill>
              </fill>
            </x14:dxf>
          </x14:cfRule>
          <xm:sqref>U225</xm:sqref>
        </x14:conditionalFormatting>
        <x14:conditionalFormatting xmlns:xm="http://schemas.microsoft.com/office/excel/2006/main">
          <x14:cfRule type="expression" priority="1217" id="{B1BDAA96-7415-4AA8-83B0-83554A871CE4}">
            <xm:f>$Z$8='Assessment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1190" id="{E9C8BC85-79C2-48ED-83F9-A828663B02BC}">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1189" id="{05FF17F0-138A-4115-8735-7DF4487C773A}">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1168" id="{0BBD319E-E165-41D8-A776-0E75303B2C6A}">
            <xm:f>$S$8='Assessment Details'!$Q$23</xm:f>
            <x14:dxf>
              <font>
                <color theme="0"/>
              </font>
              <fill>
                <patternFill>
                  <bgColor theme="0"/>
                </patternFill>
              </fill>
              <border>
                <vertical/>
                <horizontal/>
              </border>
            </x14:dxf>
          </x14:cfRule>
          <xm:sqref>N199</xm:sqref>
        </x14:conditionalFormatting>
        <x14:conditionalFormatting xmlns:xm="http://schemas.microsoft.com/office/excel/2006/main">
          <x14:cfRule type="expression" priority="1167" id="{64A52EC4-7784-42FF-9840-B95E6C5032D4}">
            <xm:f>$S$8='Assessment Details'!$Q$23</xm:f>
            <x14:dxf>
              <border>
                <left style="thin">
                  <color theme="0"/>
                </left>
                <right style="thin">
                  <color theme="0"/>
                </right>
                <top style="thin">
                  <color theme="0"/>
                </top>
                <bottom style="thin">
                  <color theme="0"/>
                </bottom>
                <vertical/>
                <horizontal/>
              </border>
            </x14:dxf>
          </x14:cfRule>
          <xm:sqref>N199</xm:sqref>
        </x14:conditionalFormatting>
        <x14:conditionalFormatting xmlns:xm="http://schemas.microsoft.com/office/excel/2006/main">
          <x14:cfRule type="expression" priority="1166" id="{50EA2D5F-4925-4DE9-8175-24D7B0FAC38D}">
            <xm:f>$Z$8='Assessment Details'!$Q$23</xm:f>
            <x14:dxf>
              <font>
                <color theme="0"/>
              </font>
              <fill>
                <patternFill>
                  <bgColor theme="0"/>
                </patternFill>
              </fill>
            </x14:dxf>
          </x14:cfRule>
          <xm:sqref>X199:Y199</xm:sqref>
        </x14:conditionalFormatting>
        <x14:conditionalFormatting xmlns:xm="http://schemas.microsoft.com/office/excel/2006/main">
          <x14:cfRule type="expression" priority="1165" id="{CDBF1BBA-0622-4E20-A9ED-BB386E735DE0}">
            <xm:f>$Z$8='Assessment Details'!$Q$23</xm:f>
            <x14:dxf>
              <border>
                <left style="thin">
                  <color theme="0"/>
                </left>
                <right style="thin">
                  <color theme="0"/>
                </right>
                <top style="thin">
                  <color theme="0"/>
                </top>
                <bottom style="thin">
                  <color theme="0"/>
                </bottom>
                <vertical/>
                <horizontal/>
              </border>
            </x14:dxf>
          </x14:cfRule>
          <xm:sqref>X199:Y199</xm:sqref>
        </x14:conditionalFormatting>
        <x14:conditionalFormatting xmlns:xm="http://schemas.microsoft.com/office/excel/2006/main">
          <x14:cfRule type="expression" priority="1164" id="{BA600EB2-D894-4A32-9E7F-A23795F6FD85}">
            <xm:f>$Z$8='Assessment Details'!$Q$23</xm:f>
            <x14:dxf>
              <font>
                <color theme="0"/>
              </font>
              <fill>
                <patternFill>
                  <bgColor theme="0"/>
                </patternFill>
              </fill>
            </x14:dxf>
          </x14:cfRule>
          <xm:sqref>U199</xm:sqref>
        </x14:conditionalFormatting>
        <x14:conditionalFormatting xmlns:xm="http://schemas.microsoft.com/office/excel/2006/main">
          <x14:cfRule type="expression" priority="1163" id="{10BA7BE5-3E03-47AB-9674-4127F705184C}">
            <xm:f>$Z$8='Assessment Details'!$Q$23</xm:f>
            <x14:dxf>
              <border>
                <left style="thin">
                  <color theme="0"/>
                </left>
                <right style="thin">
                  <color theme="0"/>
                </right>
                <top style="thin">
                  <color theme="0"/>
                </top>
                <bottom style="thin">
                  <color theme="0"/>
                </bottom>
                <vertical/>
                <horizontal/>
              </border>
            </x14:dxf>
          </x14:cfRule>
          <xm:sqref>U199</xm:sqref>
        </x14:conditionalFormatting>
        <x14:conditionalFormatting xmlns:xm="http://schemas.microsoft.com/office/excel/2006/main">
          <x14:cfRule type="expression" priority="1151" id="{71D00486-2067-46DC-BDC1-5EE4D7A8ED6D}">
            <xm:f>$S$8='Assessment Details'!$Q$23</xm:f>
            <x14:dxf>
              <font>
                <color theme="0"/>
              </font>
              <fill>
                <patternFill>
                  <bgColor theme="0"/>
                </patternFill>
              </fill>
              <border>
                <vertical/>
                <horizontal/>
              </border>
            </x14:dxf>
          </x14:cfRule>
          <xm:sqref>Q63:R63</xm:sqref>
        </x14:conditionalFormatting>
        <x14:conditionalFormatting xmlns:xm="http://schemas.microsoft.com/office/excel/2006/main">
          <x14:cfRule type="expression" priority="1150" id="{28E4A3D0-1638-4345-A978-E56A4FF5AE84}">
            <xm:f>$S$8='Assessment Details'!$Q$23</xm:f>
            <x14:dxf>
              <border>
                <left style="thin">
                  <color theme="0"/>
                </left>
                <right style="thin">
                  <color theme="0"/>
                </right>
                <top style="thin">
                  <color theme="0"/>
                </top>
                <bottom style="thin">
                  <color theme="0"/>
                </bottom>
                <vertical/>
                <horizontal/>
              </border>
            </x14:dxf>
          </x14:cfRule>
          <xm:sqref>Q63:R63</xm:sqref>
        </x14:conditionalFormatting>
        <x14:conditionalFormatting xmlns:xm="http://schemas.microsoft.com/office/excel/2006/main">
          <x14:cfRule type="expression" priority="1149" id="{ABC178BE-55CD-4AD6-9B80-E1ADE74D0F65}">
            <xm:f>$Z$8='Assessment Details'!$Q$23</xm:f>
            <x14:dxf>
              <font>
                <color theme="0"/>
              </font>
              <fill>
                <patternFill>
                  <bgColor theme="0"/>
                </patternFill>
              </fill>
            </x14:dxf>
          </x14:cfRule>
          <xm:sqref>U63</xm:sqref>
        </x14:conditionalFormatting>
        <x14:conditionalFormatting xmlns:xm="http://schemas.microsoft.com/office/excel/2006/main">
          <x14:cfRule type="expression" priority="1148" id="{B34A33E1-F52C-4841-AEB3-E470F60604C5}">
            <xm:f>$Z$8='Assessment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139" id="{2E906952-F76B-4002-AEF2-19C384210E97}">
            <xm:f>$S$8='Assessment Details'!$Q$23</xm:f>
            <x14:dxf>
              <font>
                <color theme="0"/>
              </font>
              <fill>
                <patternFill>
                  <bgColor theme="0"/>
                </patternFill>
              </fill>
              <border>
                <vertical/>
                <horizontal/>
              </border>
            </x14:dxf>
          </x14:cfRule>
          <xm:sqref>Q92:R92</xm:sqref>
        </x14:conditionalFormatting>
        <x14:conditionalFormatting xmlns:xm="http://schemas.microsoft.com/office/excel/2006/main">
          <x14:cfRule type="expression" priority="1138" id="{016CED2A-DEE6-4A52-BCCD-A88530D2F7A7}">
            <xm:f>$S$8='Assessment Details'!$Q$23</xm:f>
            <x14:dxf>
              <border>
                <left style="thin">
                  <color theme="0"/>
                </left>
                <right style="thin">
                  <color theme="0"/>
                </right>
                <top style="thin">
                  <color theme="0"/>
                </top>
                <bottom style="thin">
                  <color theme="0"/>
                </bottom>
                <vertical/>
                <horizontal/>
              </border>
            </x14:dxf>
          </x14:cfRule>
          <xm:sqref>Q92:R92</xm:sqref>
        </x14:conditionalFormatting>
        <x14:conditionalFormatting xmlns:xm="http://schemas.microsoft.com/office/excel/2006/main">
          <x14:cfRule type="expression" priority="1137" id="{AA2B09B7-D032-4EDC-9E2C-B2613AF925BA}">
            <xm:f>$Z$8='Assessment Details'!$Q$23</xm:f>
            <x14:dxf>
              <font>
                <color theme="0"/>
              </font>
              <fill>
                <patternFill>
                  <bgColor theme="0"/>
                </patternFill>
              </fill>
            </x14:dxf>
          </x14:cfRule>
          <xm:sqref>U92</xm:sqref>
        </x14:conditionalFormatting>
        <x14:conditionalFormatting xmlns:xm="http://schemas.microsoft.com/office/excel/2006/main">
          <x14:cfRule type="expression" priority="1136" id="{2E11EAEC-490D-47E0-AC73-6DF2825CAB7B}">
            <xm:f>$Z$8='Assessment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1127" id="{EA046676-BAF8-44C4-868F-A279D4782715}">
            <xm:f>$S$8='Assessment Details'!$Q$23</xm:f>
            <x14:dxf>
              <font>
                <color theme="0"/>
              </font>
              <fill>
                <patternFill>
                  <bgColor theme="0"/>
                </patternFill>
              </fill>
              <border>
                <vertical/>
                <horizontal/>
              </border>
            </x14:dxf>
          </x14:cfRule>
          <xm:sqref>Q101:R101</xm:sqref>
        </x14:conditionalFormatting>
        <x14:conditionalFormatting xmlns:xm="http://schemas.microsoft.com/office/excel/2006/main">
          <x14:cfRule type="expression" priority="1126" id="{78F98CD6-B22A-40B7-BA85-927D4EDA73A5}">
            <xm:f>$S$8='Assessment Details'!$Q$23</xm:f>
            <x14:dxf>
              <border>
                <left style="thin">
                  <color theme="0"/>
                </left>
                <right style="thin">
                  <color theme="0"/>
                </right>
                <top style="thin">
                  <color theme="0"/>
                </top>
                <bottom style="thin">
                  <color theme="0"/>
                </bottom>
                <vertical/>
                <horizontal/>
              </border>
            </x14:dxf>
          </x14:cfRule>
          <xm:sqref>Q101:R101</xm:sqref>
        </x14:conditionalFormatting>
        <x14:conditionalFormatting xmlns:xm="http://schemas.microsoft.com/office/excel/2006/main">
          <x14:cfRule type="expression" priority="1125" id="{D00CC6D4-5E6B-4F94-B0D6-BCA5015A55FC}">
            <xm:f>$Z$8='Assessment Details'!$Q$23</xm:f>
            <x14:dxf>
              <font>
                <color theme="0"/>
              </font>
              <fill>
                <patternFill>
                  <bgColor theme="0"/>
                </patternFill>
              </fill>
            </x14:dxf>
          </x14:cfRule>
          <xm:sqref>U101</xm:sqref>
        </x14:conditionalFormatting>
        <x14:conditionalFormatting xmlns:xm="http://schemas.microsoft.com/office/excel/2006/main">
          <x14:cfRule type="expression" priority="1124" id="{DA754FE4-0819-4A01-9771-C8FB065924D0}">
            <xm:f>$Z$8='Assessment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1115" id="{72E050F9-DC77-4BE7-B77A-34D110C0BE12}">
            <xm:f>$S$8='Assessment Details'!$Q$23</xm:f>
            <x14:dxf>
              <font>
                <color theme="0"/>
              </font>
              <fill>
                <patternFill>
                  <bgColor theme="0"/>
                </patternFill>
              </fill>
              <border>
                <vertical/>
                <horizontal/>
              </border>
            </x14:dxf>
          </x14:cfRule>
          <xm:sqref>Q115:R115</xm:sqref>
        </x14:conditionalFormatting>
        <x14:conditionalFormatting xmlns:xm="http://schemas.microsoft.com/office/excel/2006/main">
          <x14:cfRule type="expression" priority="1114" id="{48CF0650-BF7E-44AC-9F17-75C452C88A1E}">
            <xm:f>$S$8='Assessment Details'!$Q$23</xm:f>
            <x14:dxf>
              <border>
                <left style="thin">
                  <color theme="0"/>
                </left>
                <right style="thin">
                  <color theme="0"/>
                </right>
                <top style="thin">
                  <color theme="0"/>
                </top>
                <bottom style="thin">
                  <color theme="0"/>
                </bottom>
                <vertical/>
                <horizontal/>
              </border>
            </x14:dxf>
          </x14:cfRule>
          <xm:sqref>Q115:R115</xm:sqref>
        </x14:conditionalFormatting>
        <x14:conditionalFormatting xmlns:xm="http://schemas.microsoft.com/office/excel/2006/main">
          <x14:cfRule type="expression" priority="1113" id="{7D5772DD-D924-4429-89D0-A0B89E56E56E}">
            <xm:f>$Z$8='Assessment Details'!$Q$23</xm:f>
            <x14:dxf>
              <font>
                <color theme="0"/>
              </font>
              <fill>
                <patternFill>
                  <bgColor theme="0"/>
                </patternFill>
              </fill>
            </x14:dxf>
          </x14:cfRule>
          <xm:sqref>U115</xm:sqref>
        </x14:conditionalFormatting>
        <x14:conditionalFormatting xmlns:xm="http://schemas.microsoft.com/office/excel/2006/main">
          <x14:cfRule type="expression" priority="1112" id="{76622B2F-5B20-4947-A273-3BD00F9314A7}">
            <xm:f>$Z$8='Assessment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1103" id="{1FFE2CDF-5A3B-464B-B27F-AEE5C806C559}">
            <xm:f>$S$8='Assessment Details'!$Q$23</xm:f>
            <x14:dxf>
              <font>
                <color theme="0"/>
              </font>
              <fill>
                <patternFill>
                  <bgColor theme="0"/>
                </patternFill>
              </fill>
              <border>
                <vertical/>
                <horizontal/>
              </border>
            </x14:dxf>
          </x14:cfRule>
          <xm:sqref>Q145:R145</xm:sqref>
        </x14:conditionalFormatting>
        <x14:conditionalFormatting xmlns:xm="http://schemas.microsoft.com/office/excel/2006/main">
          <x14:cfRule type="expression" priority="1102" id="{8E3B65D4-BF8F-41BB-8BC1-47A89858900A}">
            <xm:f>$S$8='Assessment Details'!$Q$23</xm:f>
            <x14:dxf>
              <border>
                <left style="thin">
                  <color theme="0"/>
                </left>
                <right style="thin">
                  <color theme="0"/>
                </right>
                <top style="thin">
                  <color theme="0"/>
                </top>
                <bottom style="thin">
                  <color theme="0"/>
                </bottom>
                <vertical/>
                <horizontal/>
              </border>
            </x14:dxf>
          </x14:cfRule>
          <xm:sqref>Q145:R145</xm:sqref>
        </x14:conditionalFormatting>
        <x14:conditionalFormatting xmlns:xm="http://schemas.microsoft.com/office/excel/2006/main">
          <x14:cfRule type="expression" priority="1101" id="{4D02F44B-AD7E-441E-80DD-0A60777C100A}">
            <xm:f>$Z$8='Assessment Details'!$Q$23</xm:f>
            <x14:dxf>
              <font>
                <color theme="0"/>
              </font>
              <fill>
                <patternFill>
                  <bgColor theme="0"/>
                </patternFill>
              </fill>
            </x14:dxf>
          </x14:cfRule>
          <xm:sqref>U145</xm:sqref>
        </x14:conditionalFormatting>
        <x14:conditionalFormatting xmlns:xm="http://schemas.microsoft.com/office/excel/2006/main">
          <x14:cfRule type="expression" priority="1100" id="{C7F05634-C1C7-4679-A9F9-F9612083CF9F}">
            <xm:f>$Z$8='Assessment Details'!$Q$23</xm:f>
            <x14:dxf>
              <border>
                <left style="thin">
                  <color theme="0"/>
                </left>
                <right style="thin">
                  <color theme="0"/>
                </right>
                <top style="thin">
                  <color theme="0"/>
                </top>
                <bottom style="thin">
                  <color theme="0"/>
                </bottom>
                <vertical/>
                <horizontal/>
              </border>
            </x14:dxf>
          </x14:cfRule>
          <xm:sqref>U145</xm:sqref>
        </x14:conditionalFormatting>
        <x14:conditionalFormatting xmlns:xm="http://schemas.microsoft.com/office/excel/2006/main">
          <x14:cfRule type="expression" priority="1091" id="{0056FDA5-F740-4214-8184-D291462FB1E4}">
            <xm:f>$S$8='Assessment Details'!$Q$23</xm:f>
            <x14:dxf>
              <font>
                <color theme="0"/>
              </font>
              <fill>
                <patternFill>
                  <bgColor theme="0"/>
                </patternFill>
              </fill>
              <border>
                <vertical/>
                <horizontal/>
              </border>
            </x14:dxf>
          </x14:cfRule>
          <xm:sqref>Q160:R160</xm:sqref>
        </x14:conditionalFormatting>
        <x14:conditionalFormatting xmlns:xm="http://schemas.microsoft.com/office/excel/2006/main">
          <x14:cfRule type="expression" priority="1090" id="{1BCD2277-3EAB-4A22-93BB-E26D28CC0C3A}">
            <xm:f>$S$8='Assessment Details'!$Q$23</xm:f>
            <x14:dxf>
              <border>
                <left style="thin">
                  <color theme="0"/>
                </left>
                <right style="thin">
                  <color theme="0"/>
                </right>
                <top style="thin">
                  <color theme="0"/>
                </top>
                <bottom style="thin">
                  <color theme="0"/>
                </bottom>
                <vertical/>
                <horizontal/>
              </border>
            </x14:dxf>
          </x14:cfRule>
          <xm:sqref>Q160:R160</xm:sqref>
        </x14:conditionalFormatting>
        <x14:conditionalFormatting xmlns:xm="http://schemas.microsoft.com/office/excel/2006/main">
          <x14:cfRule type="expression" priority="1089" id="{BA1EBAC0-8656-4B2A-BDB0-FC726DB0747D}">
            <xm:f>$Z$8='Assessment Details'!$Q$23</xm:f>
            <x14:dxf>
              <font>
                <color theme="0"/>
              </font>
              <fill>
                <patternFill>
                  <bgColor theme="0"/>
                </patternFill>
              </fill>
            </x14:dxf>
          </x14:cfRule>
          <xm:sqref>U160</xm:sqref>
        </x14:conditionalFormatting>
        <x14:conditionalFormatting xmlns:xm="http://schemas.microsoft.com/office/excel/2006/main">
          <x14:cfRule type="expression" priority="1088" id="{D40BFFAE-632F-4041-81F0-92A93FE14725}">
            <xm:f>$Z$8='Assessment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1079" id="{01659BDE-7E5B-4728-97BD-B3D5A26A65DA}">
            <xm:f>$S$8='Assessment Details'!$Q$23</xm:f>
            <x14:dxf>
              <font>
                <color theme="0"/>
              </font>
              <fill>
                <patternFill>
                  <bgColor theme="0"/>
                </patternFill>
              </fill>
              <border>
                <vertical/>
                <horizontal/>
              </border>
            </x14:dxf>
          </x14:cfRule>
          <xm:sqref>Q192:R192</xm:sqref>
        </x14:conditionalFormatting>
        <x14:conditionalFormatting xmlns:xm="http://schemas.microsoft.com/office/excel/2006/main">
          <x14:cfRule type="expression" priority="1078" id="{B2F0B264-AE4A-4FC5-ACBB-80DB6BD7C930}">
            <xm:f>$S$8='Assessment Details'!$Q$23</xm:f>
            <x14:dxf>
              <border>
                <left style="thin">
                  <color theme="0"/>
                </left>
                <right style="thin">
                  <color theme="0"/>
                </right>
                <top style="thin">
                  <color theme="0"/>
                </top>
                <bottom style="thin">
                  <color theme="0"/>
                </bottom>
                <vertical/>
                <horizontal/>
              </border>
            </x14:dxf>
          </x14:cfRule>
          <xm:sqref>Q192:R192</xm:sqref>
        </x14:conditionalFormatting>
        <x14:conditionalFormatting xmlns:xm="http://schemas.microsoft.com/office/excel/2006/main">
          <x14:cfRule type="expression" priority="1077" id="{A8CFDC61-3803-40AA-88E2-289AA29EC575}">
            <xm:f>$Z$8='Assessment Details'!$Q$23</xm:f>
            <x14:dxf>
              <font>
                <color theme="0"/>
              </font>
              <fill>
                <patternFill>
                  <bgColor theme="0"/>
                </patternFill>
              </fill>
            </x14:dxf>
          </x14:cfRule>
          <xm:sqref>U192</xm:sqref>
        </x14:conditionalFormatting>
        <x14:conditionalFormatting xmlns:xm="http://schemas.microsoft.com/office/excel/2006/main">
          <x14:cfRule type="expression" priority="1076" id="{A1ECE2F7-5534-47E3-AA5F-59EA4217462D}">
            <xm:f>$Z$8='Assessment Details'!$Q$23</xm:f>
            <x14:dxf>
              <border>
                <left style="thin">
                  <color theme="0"/>
                </left>
                <right style="thin">
                  <color theme="0"/>
                </right>
                <top style="thin">
                  <color theme="0"/>
                </top>
                <bottom style="thin">
                  <color theme="0"/>
                </bottom>
                <vertical/>
                <horizontal/>
              </border>
            </x14:dxf>
          </x14:cfRule>
          <xm:sqref>U192</xm:sqref>
        </x14:conditionalFormatting>
        <x14:conditionalFormatting xmlns:xm="http://schemas.microsoft.com/office/excel/2006/main">
          <x14:cfRule type="expression" priority="1067" id="{89C49241-A961-4AFA-940F-7360A325BAED}">
            <xm:f>$S$8='Assessment Details'!$Q$23</xm:f>
            <x14:dxf>
              <font>
                <color theme="0"/>
              </font>
              <fill>
                <patternFill>
                  <bgColor theme="0"/>
                </patternFill>
              </fill>
              <border>
                <vertical/>
                <horizontal/>
              </border>
            </x14:dxf>
          </x14:cfRule>
          <xm:sqref>Q209:R209</xm:sqref>
        </x14:conditionalFormatting>
        <x14:conditionalFormatting xmlns:xm="http://schemas.microsoft.com/office/excel/2006/main">
          <x14:cfRule type="expression" priority="1066" id="{BF658C0A-7B19-406B-A0E6-C17085941988}">
            <xm:f>$S$8='Assessment Details'!$Q$23</xm:f>
            <x14:dxf>
              <border>
                <left style="thin">
                  <color theme="0"/>
                </left>
                <right style="thin">
                  <color theme="0"/>
                </right>
                <top style="thin">
                  <color theme="0"/>
                </top>
                <bottom style="thin">
                  <color theme="0"/>
                </bottom>
                <vertical/>
                <horizontal/>
              </border>
            </x14:dxf>
          </x14:cfRule>
          <xm:sqref>Q209:R209</xm:sqref>
        </x14:conditionalFormatting>
        <x14:conditionalFormatting xmlns:xm="http://schemas.microsoft.com/office/excel/2006/main">
          <x14:cfRule type="expression" priority="1065" id="{43E8197F-C15F-4E6A-9D11-219C57008C5C}">
            <xm:f>$Z$8='Assessment Details'!$Q$23</xm:f>
            <x14:dxf>
              <font>
                <color theme="0"/>
              </font>
              <fill>
                <patternFill>
                  <bgColor theme="0"/>
                </patternFill>
              </fill>
            </x14:dxf>
          </x14:cfRule>
          <xm:sqref>U209</xm:sqref>
        </x14:conditionalFormatting>
        <x14:conditionalFormatting xmlns:xm="http://schemas.microsoft.com/office/excel/2006/main">
          <x14:cfRule type="expression" priority="1064" id="{F45E98F7-5F58-46EB-8121-5241DBEB9E82}">
            <xm:f>$Z$8='Assessment Details'!$Q$23</xm:f>
            <x14:dxf>
              <border>
                <left style="thin">
                  <color theme="0"/>
                </left>
                <right style="thin">
                  <color theme="0"/>
                </right>
                <top style="thin">
                  <color theme="0"/>
                </top>
                <bottom style="thin">
                  <color theme="0"/>
                </bottom>
                <vertical/>
                <horizontal/>
              </border>
            </x14:dxf>
          </x14:cfRule>
          <xm:sqref>U209</xm:sqref>
        </x14:conditionalFormatting>
        <x14:conditionalFormatting xmlns:xm="http://schemas.microsoft.com/office/excel/2006/main">
          <x14:cfRule type="expression" priority="1053" id="{3B264B50-F180-4FE0-8A6C-12ECE604D2C9}">
            <xm:f>$Z$8='Assessment Details'!$Q$23</xm:f>
            <x14:dxf>
              <font>
                <color theme="0"/>
              </font>
              <fill>
                <patternFill>
                  <bgColor theme="0"/>
                </patternFill>
              </fill>
            </x14:dxf>
          </x14:cfRule>
          <xm:sqref>U226</xm:sqref>
        </x14:conditionalFormatting>
        <x14:conditionalFormatting xmlns:xm="http://schemas.microsoft.com/office/excel/2006/main">
          <x14:cfRule type="expression" priority="1052" id="{6A2E87DA-EB79-40E0-873E-702FD57712F9}">
            <xm:f>$Z$8='Assessment Details'!$Q$23</xm:f>
            <x14:dxf>
              <border>
                <left style="thin">
                  <color theme="0"/>
                </left>
                <right style="thin">
                  <color theme="0"/>
                </right>
                <top style="thin">
                  <color theme="0"/>
                </top>
                <bottom style="thin">
                  <color theme="0"/>
                </bottom>
                <vertical/>
                <horizontal/>
              </border>
            </x14:dxf>
          </x14:cfRule>
          <xm:sqref>U226</xm:sqref>
        </x14:conditionalFormatting>
        <x14:conditionalFormatting xmlns:xm="http://schemas.microsoft.com/office/excel/2006/main">
          <x14:cfRule type="expression" priority="1047" id="{307AA2B4-9460-4D64-B64E-D9E082FDD21D}">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1046" id="{E054E369-8675-45A9-9063-6772B90EC6F0}">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1043" id="{A1C72D73-A9A2-4173-B170-EA428AE8FCE0}">
            <xm:f>$S$8='Assessment Details'!$Q$23</xm:f>
            <x14:dxf>
              <font>
                <color theme="0"/>
              </font>
              <fill>
                <patternFill>
                  <bgColor theme="0"/>
                </patternFill>
              </fill>
              <border>
                <vertical/>
                <horizontal/>
              </border>
            </x14:dxf>
          </x14:cfRule>
          <xm:sqref>N119</xm:sqref>
        </x14:conditionalFormatting>
        <x14:conditionalFormatting xmlns:xm="http://schemas.microsoft.com/office/excel/2006/main">
          <x14:cfRule type="expression" priority="1042" id="{C332B9BF-6CBB-4400-A162-14E1CE03FA30}">
            <xm:f>$S$8='Assessment Details'!$Q$23</xm:f>
            <x14:dxf>
              <border>
                <left style="thin">
                  <color theme="0"/>
                </left>
                <right style="thin">
                  <color theme="0"/>
                </right>
                <top style="thin">
                  <color theme="0"/>
                </top>
                <bottom style="thin">
                  <color theme="0"/>
                </bottom>
                <vertical/>
                <horizontal/>
              </border>
            </x14:dxf>
          </x14:cfRule>
          <xm:sqref>N119</xm:sqref>
        </x14:conditionalFormatting>
        <x14:conditionalFormatting xmlns:xm="http://schemas.microsoft.com/office/excel/2006/main">
          <x14:cfRule type="expression" priority="1039" id="{0CA13EFB-5FAE-443D-AAEA-19BF3CBA73DF}">
            <xm:f>$S$8='Assessment Details'!$Q$23</xm:f>
            <x14:dxf>
              <font>
                <color theme="0"/>
              </font>
              <fill>
                <patternFill>
                  <bgColor theme="0"/>
                </patternFill>
              </fill>
              <border>
                <vertical/>
                <horizontal/>
              </border>
            </x14:dxf>
          </x14:cfRule>
          <xm:sqref>N123</xm:sqref>
        </x14:conditionalFormatting>
        <x14:conditionalFormatting xmlns:xm="http://schemas.microsoft.com/office/excel/2006/main">
          <x14:cfRule type="expression" priority="1038" id="{0F71D829-C403-4643-9F3F-9308293F6A30}">
            <xm:f>$S$8='Assessment Details'!$Q$23</xm:f>
            <x14:dxf>
              <border>
                <left style="thin">
                  <color theme="0"/>
                </left>
                <right style="thin">
                  <color theme="0"/>
                </right>
                <top style="thin">
                  <color theme="0"/>
                </top>
                <bottom style="thin">
                  <color theme="0"/>
                </bottom>
                <vertical/>
                <horizontal/>
              </border>
            </x14:dxf>
          </x14:cfRule>
          <xm:sqref>N123</xm:sqref>
        </x14:conditionalFormatting>
        <x14:conditionalFormatting xmlns:xm="http://schemas.microsoft.com/office/excel/2006/main">
          <x14:cfRule type="expression" priority="1035" id="{9AB21409-CDEA-4079-BDC1-9A141F03A66C}">
            <xm:f>$S$8='Assessment Details'!$Q$23</xm:f>
            <x14:dxf>
              <font>
                <color theme="0"/>
              </font>
              <fill>
                <patternFill>
                  <bgColor theme="0"/>
                </patternFill>
              </fill>
              <border>
                <vertical/>
                <horizontal/>
              </border>
            </x14:dxf>
          </x14:cfRule>
          <xm:sqref>N127</xm:sqref>
        </x14:conditionalFormatting>
        <x14:conditionalFormatting xmlns:xm="http://schemas.microsoft.com/office/excel/2006/main">
          <x14:cfRule type="expression" priority="1034" id="{F5414219-E047-4E00-B627-ED7355889037}">
            <xm:f>$S$8='Assessment Details'!$Q$23</xm:f>
            <x14:dxf>
              <border>
                <left style="thin">
                  <color theme="0"/>
                </left>
                <right style="thin">
                  <color theme="0"/>
                </right>
                <top style="thin">
                  <color theme="0"/>
                </top>
                <bottom style="thin">
                  <color theme="0"/>
                </bottom>
                <vertical/>
                <horizontal/>
              </border>
            </x14:dxf>
          </x14:cfRule>
          <xm:sqref>N127</xm:sqref>
        </x14:conditionalFormatting>
        <x14:conditionalFormatting xmlns:xm="http://schemas.microsoft.com/office/excel/2006/main">
          <x14:cfRule type="expression" priority="1031" id="{7C843AA6-8F10-48A2-A7B5-BAA3503304A0}">
            <xm:f>$S$8='Assessment Details'!$Q$23</xm:f>
            <x14:dxf>
              <font>
                <color theme="0"/>
              </font>
              <fill>
                <patternFill>
                  <bgColor theme="0"/>
                </patternFill>
              </fill>
              <border>
                <vertical/>
                <horizontal/>
              </border>
            </x14:dxf>
          </x14:cfRule>
          <xm:sqref>N131</xm:sqref>
        </x14:conditionalFormatting>
        <x14:conditionalFormatting xmlns:xm="http://schemas.microsoft.com/office/excel/2006/main">
          <x14:cfRule type="expression" priority="1030" id="{1B33CFF4-4F1B-4FD8-9433-725623964A4E}">
            <xm:f>$S$8='Assessment Details'!$Q$23</xm:f>
            <x14:dxf>
              <border>
                <left style="thin">
                  <color theme="0"/>
                </left>
                <right style="thin">
                  <color theme="0"/>
                </right>
                <top style="thin">
                  <color theme="0"/>
                </top>
                <bottom style="thin">
                  <color theme="0"/>
                </bottom>
                <vertical/>
                <horizontal/>
              </border>
            </x14:dxf>
          </x14:cfRule>
          <xm:sqref>N131</xm:sqref>
        </x14:conditionalFormatting>
        <x14:conditionalFormatting xmlns:xm="http://schemas.microsoft.com/office/excel/2006/main">
          <x14:cfRule type="expression" priority="1027" id="{B4BB3E1A-7AFC-461C-AA75-FD582653BF7C}">
            <xm:f>$S$8='Assessment Details'!$Q$23</xm:f>
            <x14:dxf>
              <font>
                <color theme="0"/>
              </font>
              <fill>
                <patternFill>
                  <bgColor theme="0"/>
                </patternFill>
              </fill>
              <border>
                <vertical/>
                <horizontal/>
              </border>
            </x14:dxf>
          </x14:cfRule>
          <xm:sqref>N167</xm:sqref>
        </x14:conditionalFormatting>
        <x14:conditionalFormatting xmlns:xm="http://schemas.microsoft.com/office/excel/2006/main">
          <x14:cfRule type="expression" priority="1026" id="{0C1307FD-EF1C-4875-A07B-1E2C833AB17E}">
            <xm:f>$S$8='Assessment Details'!$Q$23</xm:f>
            <x14:dxf>
              <border>
                <left style="thin">
                  <color theme="0"/>
                </left>
                <right style="thin">
                  <color theme="0"/>
                </right>
                <top style="thin">
                  <color theme="0"/>
                </top>
                <bottom style="thin">
                  <color theme="0"/>
                </bottom>
                <vertical/>
                <horizontal/>
              </border>
            </x14:dxf>
          </x14:cfRule>
          <xm:sqref>N167</xm:sqref>
        </x14:conditionalFormatting>
        <x14:conditionalFormatting xmlns:xm="http://schemas.microsoft.com/office/excel/2006/main">
          <x14:cfRule type="expression" priority="1019" id="{E15BC88D-C946-4E1A-BD75-8CEC8E32FC7D}">
            <xm:f>$S$8='Assessment Details'!$Q$23</xm:f>
            <x14:dxf>
              <font>
                <color theme="0"/>
              </font>
              <fill>
                <patternFill>
                  <bgColor theme="0"/>
                </patternFill>
              </fill>
              <border>
                <vertical/>
                <horizontal/>
              </border>
            </x14:dxf>
          </x14:cfRule>
          <xm:sqref>N175</xm:sqref>
        </x14:conditionalFormatting>
        <x14:conditionalFormatting xmlns:xm="http://schemas.microsoft.com/office/excel/2006/main">
          <x14:cfRule type="expression" priority="1018" id="{D6BB9F8E-0A57-42E3-B5E1-7644F2DFCD46}">
            <xm:f>$S$8='Assessment Details'!$Q$23</xm:f>
            <x14:dxf>
              <border>
                <left style="thin">
                  <color theme="0"/>
                </left>
                <right style="thin">
                  <color theme="0"/>
                </right>
                <top style="thin">
                  <color theme="0"/>
                </top>
                <bottom style="thin">
                  <color theme="0"/>
                </bottom>
                <vertical/>
                <horizontal/>
              </border>
            </x14:dxf>
          </x14:cfRule>
          <xm:sqref>N175</xm:sqref>
        </x14:conditionalFormatting>
        <x14:conditionalFormatting xmlns:xm="http://schemas.microsoft.com/office/excel/2006/main">
          <x14:cfRule type="expression" priority="1015" id="{810D66C2-8584-47FB-BFB3-19127E2BA28A}">
            <xm:f>$S$8='Assessment Details'!$Q$23</xm:f>
            <x14:dxf>
              <font>
                <color theme="0"/>
              </font>
              <fill>
                <patternFill>
                  <bgColor theme="0"/>
                </patternFill>
              </fill>
              <border>
                <vertical/>
                <horizontal/>
              </border>
            </x14:dxf>
          </x14:cfRule>
          <xm:sqref>N179</xm:sqref>
        </x14:conditionalFormatting>
        <x14:conditionalFormatting xmlns:xm="http://schemas.microsoft.com/office/excel/2006/main">
          <x14:cfRule type="expression" priority="1014" id="{B52E7EFA-7B11-4DBB-A261-0F30E0B8B818}">
            <xm:f>$S$8='Assessment Details'!$Q$23</xm:f>
            <x14:dxf>
              <border>
                <left style="thin">
                  <color theme="0"/>
                </left>
                <right style="thin">
                  <color theme="0"/>
                </right>
                <top style="thin">
                  <color theme="0"/>
                </top>
                <bottom style="thin">
                  <color theme="0"/>
                </bottom>
                <vertical/>
                <horizontal/>
              </border>
            </x14:dxf>
          </x14:cfRule>
          <xm:sqref>N179</xm:sqref>
        </x14:conditionalFormatting>
        <x14:conditionalFormatting xmlns:xm="http://schemas.microsoft.com/office/excel/2006/main">
          <x14:cfRule type="expression" priority="1011" id="{FCD7DC89-57F5-486F-A2F7-AF9377A04FA9}">
            <xm:f>$S$8='Assessment Details'!$Q$23</xm:f>
            <x14:dxf>
              <font>
                <color theme="0"/>
              </font>
              <fill>
                <patternFill>
                  <bgColor theme="0"/>
                </patternFill>
              </fill>
              <border>
                <vertical/>
                <horizontal/>
              </border>
            </x14:dxf>
          </x14:cfRule>
          <xm:sqref>N185</xm:sqref>
        </x14:conditionalFormatting>
        <x14:conditionalFormatting xmlns:xm="http://schemas.microsoft.com/office/excel/2006/main">
          <x14:cfRule type="expression" priority="1010" id="{AB28594F-A99A-4757-BFE1-E7147E2E7D60}">
            <xm:f>$S$8='Assessment Details'!$Q$23</xm:f>
            <x14:dxf>
              <border>
                <left style="thin">
                  <color theme="0"/>
                </left>
                <right style="thin">
                  <color theme="0"/>
                </right>
                <top style="thin">
                  <color theme="0"/>
                </top>
                <bottom style="thin">
                  <color theme="0"/>
                </bottom>
                <vertical/>
                <horizontal/>
              </border>
            </x14:dxf>
          </x14:cfRule>
          <xm:sqref>N185</xm:sqref>
        </x14:conditionalFormatting>
        <x14:conditionalFormatting xmlns:xm="http://schemas.microsoft.com/office/excel/2006/main">
          <x14:cfRule type="expression" priority="1007" id="{9F3666A8-497C-45D2-A62F-5030F38C5965}">
            <xm:f>$S$8='Assessment Details'!$Q$23</xm:f>
            <x14:dxf>
              <font>
                <color theme="0"/>
              </font>
              <fill>
                <patternFill>
                  <bgColor theme="0"/>
                </patternFill>
              </fill>
              <border>
                <vertical/>
                <horizontal/>
              </border>
            </x14:dxf>
          </x14:cfRule>
          <xm:sqref>N188</xm:sqref>
        </x14:conditionalFormatting>
        <x14:conditionalFormatting xmlns:xm="http://schemas.microsoft.com/office/excel/2006/main">
          <x14:cfRule type="expression" priority="1006" id="{1F45E4FB-CB65-4365-B584-4E2C78889E6D}">
            <xm:f>$S$8='Assessment Details'!$Q$23</xm:f>
            <x14:dxf>
              <border>
                <left style="thin">
                  <color theme="0"/>
                </left>
                <right style="thin">
                  <color theme="0"/>
                </right>
                <top style="thin">
                  <color theme="0"/>
                </top>
                <bottom style="thin">
                  <color theme="0"/>
                </bottom>
                <vertical/>
                <horizontal/>
              </border>
            </x14:dxf>
          </x14:cfRule>
          <xm:sqref>N188</xm:sqref>
        </x14:conditionalFormatting>
        <x14:conditionalFormatting xmlns:xm="http://schemas.microsoft.com/office/excel/2006/main">
          <x14:cfRule type="expression" priority="1003" id="{19AB23A2-C4DB-4818-8BF7-717483615861}">
            <xm:f>$Z$8='Assessment Details'!$Q$23</xm:f>
            <x14:dxf>
              <font>
                <color theme="0"/>
              </font>
              <fill>
                <patternFill>
                  <bgColor theme="0"/>
                </patternFill>
              </fill>
            </x14:dxf>
          </x14:cfRule>
          <xm:sqref>U56</xm:sqref>
        </x14:conditionalFormatting>
        <x14:conditionalFormatting xmlns:xm="http://schemas.microsoft.com/office/excel/2006/main">
          <x14:cfRule type="expression" priority="1002" id="{3E522E31-31A2-4846-86B9-8C7E51FDE895}">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999" id="{E4F5CCB3-7DF2-44C2-997E-04B23439CC35}">
            <xm:f>$Z$8='Assessment Details'!$Q$23</xm:f>
            <x14:dxf>
              <font>
                <color theme="0"/>
              </font>
              <fill>
                <patternFill>
                  <bgColor theme="0"/>
                </patternFill>
              </fill>
            </x14:dxf>
          </x14:cfRule>
          <xm:sqref>U119</xm:sqref>
        </x14:conditionalFormatting>
        <x14:conditionalFormatting xmlns:xm="http://schemas.microsoft.com/office/excel/2006/main">
          <x14:cfRule type="expression" priority="998" id="{8997DEA7-1621-4987-8607-29D63DAFA6D9}">
            <xm:f>$Z$8='Assessment Details'!$Q$23</xm:f>
            <x14:dxf>
              <border>
                <left style="thin">
                  <color theme="0"/>
                </left>
                <right style="thin">
                  <color theme="0"/>
                </right>
                <top style="thin">
                  <color theme="0"/>
                </top>
                <bottom style="thin">
                  <color theme="0"/>
                </bottom>
                <vertical/>
                <horizontal/>
              </border>
            </x14:dxf>
          </x14:cfRule>
          <xm:sqref>U119</xm:sqref>
        </x14:conditionalFormatting>
        <x14:conditionalFormatting xmlns:xm="http://schemas.microsoft.com/office/excel/2006/main">
          <x14:cfRule type="expression" priority="995" id="{845251D0-00A1-4820-B1E0-5B0CE3E55951}">
            <xm:f>$Z$8='Assessment Details'!$Q$23</xm:f>
            <x14:dxf>
              <font>
                <color theme="0"/>
              </font>
              <fill>
                <patternFill>
                  <bgColor theme="0"/>
                </patternFill>
              </fill>
            </x14:dxf>
          </x14:cfRule>
          <xm:sqref>U123</xm:sqref>
        </x14:conditionalFormatting>
        <x14:conditionalFormatting xmlns:xm="http://schemas.microsoft.com/office/excel/2006/main">
          <x14:cfRule type="expression" priority="994" id="{B98DEB26-927B-4877-99F1-2CE26AB46A9B}">
            <xm:f>$Z$8='Assessment Details'!$Q$23</xm:f>
            <x14:dxf>
              <border>
                <left style="thin">
                  <color theme="0"/>
                </left>
                <right style="thin">
                  <color theme="0"/>
                </right>
                <top style="thin">
                  <color theme="0"/>
                </top>
                <bottom style="thin">
                  <color theme="0"/>
                </bottom>
                <vertical/>
                <horizontal/>
              </border>
            </x14:dxf>
          </x14:cfRule>
          <xm:sqref>U123</xm:sqref>
        </x14:conditionalFormatting>
        <x14:conditionalFormatting xmlns:xm="http://schemas.microsoft.com/office/excel/2006/main">
          <x14:cfRule type="expression" priority="991" id="{E89EA77A-3AB6-472C-B478-0F7F36629A8D}">
            <xm:f>$Z$8='Assessment Details'!$Q$23</xm:f>
            <x14:dxf>
              <font>
                <color theme="0"/>
              </font>
              <fill>
                <patternFill>
                  <bgColor theme="0"/>
                </patternFill>
              </fill>
            </x14:dxf>
          </x14:cfRule>
          <xm:sqref>U127</xm:sqref>
        </x14:conditionalFormatting>
        <x14:conditionalFormatting xmlns:xm="http://schemas.microsoft.com/office/excel/2006/main">
          <x14:cfRule type="expression" priority="990" id="{E7D0564C-754D-4F6B-B819-B61EA376CEC6}">
            <xm:f>$Z$8='Assessment Details'!$Q$23</xm:f>
            <x14:dxf>
              <border>
                <left style="thin">
                  <color theme="0"/>
                </left>
                <right style="thin">
                  <color theme="0"/>
                </right>
                <top style="thin">
                  <color theme="0"/>
                </top>
                <bottom style="thin">
                  <color theme="0"/>
                </bottom>
                <vertical/>
                <horizontal/>
              </border>
            </x14:dxf>
          </x14:cfRule>
          <xm:sqref>U127</xm:sqref>
        </x14:conditionalFormatting>
        <x14:conditionalFormatting xmlns:xm="http://schemas.microsoft.com/office/excel/2006/main">
          <x14:cfRule type="expression" priority="987" id="{BA63B402-31D2-466A-8162-759370F1C7A3}">
            <xm:f>$Z$8='Assessment Details'!$Q$23</xm:f>
            <x14:dxf>
              <font>
                <color theme="0"/>
              </font>
              <fill>
                <patternFill>
                  <bgColor theme="0"/>
                </patternFill>
              </fill>
            </x14:dxf>
          </x14:cfRule>
          <xm:sqref>U131</xm:sqref>
        </x14:conditionalFormatting>
        <x14:conditionalFormatting xmlns:xm="http://schemas.microsoft.com/office/excel/2006/main">
          <x14:cfRule type="expression" priority="986" id="{A2D58C98-B1D2-44EB-9399-01C5952BC14C}">
            <xm:f>$Z$8='Assessment Details'!$Q$23</xm:f>
            <x14:dxf>
              <border>
                <left style="thin">
                  <color theme="0"/>
                </left>
                <right style="thin">
                  <color theme="0"/>
                </right>
                <top style="thin">
                  <color theme="0"/>
                </top>
                <bottom style="thin">
                  <color theme="0"/>
                </bottom>
                <vertical/>
                <horizontal/>
              </border>
            </x14:dxf>
          </x14:cfRule>
          <xm:sqref>U131</xm:sqref>
        </x14:conditionalFormatting>
        <x14:conditionalFormatting xmlns:xm="http://schemas.microsoft.com/office/excel/2006/main">
          <x14:cfRule type="expression" priority="983" id="{CF7298BA-77B9-485A-9BE2-478440936C0B}">
            <xm:f>$Z$8='Assessment Details'!$Q$23</xm:f>
            <x14:dxf>
              <font>
                <color theme="0"/>
              </font>
              <fill>
                <patternFill>
                  <bgColor theme="0"/>
                </patternFill>
              </fill>
            </x14:dxf>
          </x14:cfRule>
          <xm:sqref>U167</xm:sqref>
        </x14:conditionalFormatting>
        <x14:conditionalFormatting xmlns:xm="http://schemas.microsoft.com/office/excel/2006/main">
          <x14:cfRule type="expression" priority="982" id="{D7CF9EF4-7D95-437D-807D-E4BEDB3B5C36}">
            <xm:f>$Z$8='Assessment Details'!$Q$23</xm:f>
            <x14:dxf>
              <border>
                <left style="thin">
                  <color theme="0"/>
                </left>
                <right style="thin">
                  <color theme="0"/>
                </right>
                <top style="thin">
                  <color theme="0"/>
                </top>
                <bottom style="thin">
                  <color theme="0"/>
                </bottom>
                <vertical/>
                <horizontal/>
              </border>
            </x14:dxf>
          </x14:cfRule>
          <xm:sqref>U167</xm:sqref>
        </x14:conditionalFormatting>
        <x14:conditionalFormatting xmlns:xm="http://schemas.microsoft.com/office/excel/2006/main">
          <x14:cfRule type="expression" priority="975" id="{9C5F1920-15C5-4D63-BF78-C867EE0D1066}">
            <xm:f>$Z$8='Assessment Details'!$Q$23</xm:f>
            <x14:dxf>
              <font>
                <color theme="0"/>
              </font>
              <fill>
                <patternFill>
                  <bgColor theme="0"/>
                </patternFill>
              </fill>
            </x14:dxf>
          </x14:cfRule>
          <xm:sqref>U175</xm:sqref>
        </x14:conditionalFormatting>
        <x14:conditionalFormatting xmlns:xm="http://schemas.microsoft.com/office/excel/2006/main">
          <x14:cfRule type="expression" priority="974" id="{2BF95581-B9FF-4EB8-ACA1-D5906B79080F}">
            <xm:f>$Z$8='Assessment Details'!$Q$23</xm:f>
            <x14:dxf>
              <border>
                <left style="thin">
                  <color theme="0"/>
                </left>
                <right style="thin">
                  <color theme="0"/>
                </right>
                <top style="thin">
                  <color theme="0"/>
                </top>
                <bottom style="thin">
                  <color theme="0"/>
                </bottom>
                <vertical/>
                <horizontal/>
              </border>
            </x14:dxf>
          </x14:cfRule>
          <xm:sqref>U175</xm:sqref>
        </x14:conditionalFormatting>
        <x14:conditionalFormatting xmlns:xm="http://schemas.microsoft.com/office/excel/2006/main">
          <x14:cfRule type="expression" priority="971" id="{24031FE4-1162-4B7D-898B-DBE9F537F491}">
            <xm:f>$Z$8='Assessment Details'!$Q$23</xm:f>
            <x14:dxf>
              <font>
                <color theme="0"/>
              </font>
              <fill>
                <patternFill>
                  <bgColor theme="0"/>
                </patternFill>
              </fill>
            </x14:dxf>
          </x14:cfRule>
          <xm:sqref>U179</xm:sqref>
        </x14:conditionalFormatting>
        <x14:conditionalFormatting xmlns:xm="http://schemas.microsoft.com/office/excel/2006/main">
          <x14:cfRule type="expression" priority="970" id="{60293951-1398-4DE9-B2F3-E03416288676}">
            <xm:f>$Z$8='Assessment Details'!$Q$23</xm:f>
            <x14:dxf>
              <border>
                <left style="thin">
                  <color theme="0"/>
                </left>
                <right style="thin">
                  <color theme="0"/>
                </right>
                <top style="thin">
                  <color theme="0"/>
                </top>
                <bottom style="thin">
                  <color theme="0"/>
                </bottom>
                <vertical/>
                <horizontal/>
              </border>
            </x14:dxf>
          </x14:cfRule>
          <xm:sqref>U179</xm:sqref>
        </x14:conditionalFormatting>
        <x14:conditionalFormatting xmlns:xm="http://schemas.microsoft.com/office/excel/2006/main">
          <x14:cfRule type="expression" priority="967" id="{9EF85750-6FC4-475C-8C83-DFB11D4C3DA0}">
            <xm:f>$Z$8='Assessment Details'!$Q$23</xm:f>
            <x14:dxf>
              <font>
                <color theme="0"/>
              </font>
              <fill>
                <patternFill>
                  <bgColor theme="0"/>
                </patternFill>
              </fill>
            </x14:dxf>
          </x14:cfRule>
          <xm:sqref>U185</xm:sqref>
        </x14:conditionalFormatting>
        <x14:conditionalFormatting xmlns:xm="http://schemas.microsoft.com/office/excel/2006/main">
          <x14:cfRule type="expression" priority="966" id="{6010812E-E8F6-4C2D-B2E1-5E66992EFB0A}">
            <xm:f>$Z$8='Assessment Details'!$Q$23</xm:f>
            <x14:dxf>
              <border>
                <left style="thin">
                  <color theme="0"/>
                </left>
                <right style="thin">
                  <color theme="0"/>
                </right>
                <top style="thin">
                  <color theme="0"/>
                </top>
                <bottom style="thin">
                  <color theme="0"/>
                </bottom>
                <vertical/>
                <horizontal/>
              </border>
            </x14:dxf>
          </x14:cfRule>
          <xm:sqref>U185</xm:sqref>
        </x14:conditionalFormatting>
        <x14:conditionalFormatting xmlns:xm="http://schemas.microsoft.com/office/excel/2006/main">
          <x14:cfRule type="expression" priority="963" id="{0D72CF25-68DE-4A74-8636-9DAF8D6D6513}">
            <xm:f>$Z$8='Assessment Details'!$Q$23</xm:f>
            <x14:dxf>
              <font>
                <color theme="0"/>
              </font>
              <fill>
                <patternFill>
                  <bgColor theme="0"/>
                </patternFill>
              </fill>
            </x14:dxf>
          </x14:cfRule>
          <xm:sqref>U188</xm:sqref>
        </x14:conditionalFormatting>
        <x14:conditionalFormatting xmlns:xm="http://schemas.microsoft.com/office/excel/2006/main">
          <x14:cfRule type="expression" priority="962" id="{0ADC0875-4C4C-4DE0-AB5F-F67641AFDAA8}">
            <xm:f>$Z$8='Assessment Details'!$Q$23</xm:f>
            <x14:dxf>
              <border>
                <left style="thin">
                  <color theme="0"/>
                </left>
                <right style="thin">
                  <color theme="0"/>
                </right>
                <top style="thin">
                  <color theme="0"/>
                </top>
                <bottom style="thin">
                  <color theme="0"/>
                </bottom>
                <vertical/>
                <horizontal/>
              </border>
            </x14:dxf>
          </x14:cfRule>
          <xm:sqref>U188</xm:sqref>
        </x14:conditionalFormatting>
        <x14:conditionalFormatting xmlns:xm="http://schemas.microsoft.com/office/excel/2006/main">
          <x14:cfRule type="expression" priority="948" id="{B2517199-400D-4E79-BB0C-8BD036B7C495}">
            <xm:f>$S$8='Assessment Details'!$Q$23</xm:f>
            <x14:dxf>
              <font>
                <color theme="0"/>
              </font>
              <fill>
                <patternFill>
                  <bgColor theme="0"/>
                </patternFill>
              </fill>
              <border>
                <vertical/>
                <horizontal/>
              </border>
            </x14:dxf>
          </x14:cfRule>
          <xm:sqref>N135</xm:sqref>
        </x14:conditionalFormatting>
        <x14:conditionalFormatting xmlns:xm="http://schemas.microsoft.com/office/excel/2006/main">
          <x14:cfRule type="expression" priority="947" id="{671B9F9F-87A1-4E8F-887D-B1C37FC1C2D5}">
            <xm:f>$S$8='Assessment Details'!$Q$23</xm:f>
            <x14:dxf>
              <border>
                <left style="thin">
                  <color theme="0"/>
                </left>
                <right style="thin">
                  <color theme="0"/>
                </right>
                <top style="thin">
                  <color theme="0"/>
                </top>
                <bottom style="thin">
                  <color theme="0"/>
                </bottom>
                <vertical/>
                <horizontal/>
              </border>
            </x14:dxf>
          </x14:cfRule>
          <xm:sqref>N135</xm:sqref>
        </x14:conditionalFormatting>
        <x14:conditionalFormatting xmlns:xm="http://schemas.microsoft.com/office/excel/2006/main">
          <x14:cfRule type="expression" priority="946" id="{9004D2A5-FAC0-4FD6-A1A8-2D89AC9273B1}">
            <xm:f>$Z$8='Assessment Details'!$Q$23</xm:f>
            <x14:dxf>
              <font>
                <color theme="0"/>
              </font>
              <fill>
                <patternFill>
                  <bgColor theme="0"/>
                </patternFill>
              </fill>
            </x14:dxf>
          </x14:cfRule>
          <xm:sqref>X135:Y135</xm:sqref>
        </x14:conditionalFormatting>
        <x14:conditionalFormatting xmlns:xm="http://schemas.microsoft.com/office/excel/2006/main">
          <x14:cfRule type="expression" priority="945" id="{EEC41F94-236D-4872-A8F1-79FE52E4D557}">
            <xm:f>$Z$8='Assessment Details'!$Q$23</xm:f>
            <x14:dxf>
              <border>
                <left style="thin">
                  <color theme="0"/>
                </left>
                <right style="thin">
                  <color theme="0"/>
                </right>
                <top style="thin">
                  <color theme="0"/>
                </top>
                <bottom style="thin">
                  <color theme="0"/>
                </bottom>
                <vertical/>
                <horizontal/>
              </border>
            </x14:dxf>
          </x14:cfRule>
          <xm:sqref>X135:Y135</xm:sqref>
        </x14:conditionalFormatting>
        <x14:conditionalFormatting xmlns:xm="http://schemas.microsoft.com/office/excel/2006/main">
          <x14:cfRule type="expression" priority="931" id="{78D933A3-BF0F-43E5-BA80-71B8ABB8CBE1}">
            <xm:f>$Z$8='Assessment Details'!$Q$23</xm:f>
            <x14:dxf>
              <font>
                <color theme="0"/>
              </font>
              <fill>
                <patternFill>
                  <bgColor theme="0"/>
                </patternFill>
              </fill>
            </x14:dxf>
          </x14:cfRule>
          <xm:sqref>U135</xm:sqref>
        </x14:conditionalFormatting>
        <x14:conditionalFormatting xmlns:xm="http://schemas.microsoft.com/office/excel/2006/main">
          <x14:cfRule type="expression" priority="930" id="{AB46B7D5-2DE9-49A4-8D5C-3ABCC6D206FD}">
            <xm:f>$Z$8='Assessment Details'!$Q$23</xm:f>
            <x14:dxf>
              <border>
                <left style="thin">
                  <color theme="0"/>
                </left>
                <right style="thin">
                  <color theme="0"/>
                </right>
                <top style="thin">
                  <color theme="0"/>
                </top>
                <bottom style="thin">
                  <color theme="0"/>
                </bottom>
                <vertical/>
                <horizontal/>
              </border>
            </x14:dxf>
          </x14:cfRule>
          <xm:sqref>U135</xm:sqref>
        </x14:conditionalFormatting>
        <x14:conditionalFormatting xmlns:xm="http://schemas.microsoft.com/office/excel/2006/main">
          <x14:cfRule type="expression" priority="911" id="{385BE2E3-500F-401D-920E-E2C9CC87D169}">
            <xm:f>$S$8='Assessment Details'!$Q$23</xm:f>
            <x14:dxf>
              <font>
                <color theme="0"/>
              </font>
              <fill>
                <patternFill>
                  <bgColor theme="0"/>
                </patternFill>
              </fill>
              <border>
                <vertical/>
                <horizontal/>
              </border>
            </x14:dxf>
          </x14:cfRule>
          <xm:sqref>N198</xm:sqref>
        </x14:conditionalFormatting>
        <x14:conditionalFormatting xmlns:xm="http://schemas.microsoft.com/office/excel/2006/main">
          <x14:cfRule type="expression" priority="910" id="{636614CB-6B0E-4EB8-B6D3-15814EEAE26C}">
            <xm:f>$S$8='Assessment Details'!$Q$23</xm:f>
            <x14:dxf>
              <border>
                <left style="thin">
                  <color theme="0"/>
                </left>
                <right style="thin">
                  <color theme="0"/>
                </right>
                <top style="thin">
                  <color theme="0"/>
                </top>
                <bottom style="thin">
                  <color theme="0"/>
                </bottom>
                <vertical/>
                <horizontal/>
              </border>
            </x14:dxf>
          </x14:cfRule>
          <xm:sqref>N198</xm:sqref>
        </x14:conditionalFormatting>
        <x14:conditionalFormatting xmlns:xm="http://schemas.microsoft.com/office/excel/2006/main">
          <x14:cfRule type="expression" priority="909" id="{70D6E1F0-AB43-49B6-A6D2-18A2BF9BD4BF}">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908" id="{C3ABDC6B-708E-47E9-BD59-2E270BA64C81}">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907" id="{36FE6BB4-476A-426A-BD77-348A14FCB506}">
            <xm:f>$Z$8='Assessment Details'!$Q$23</xm:f>
            <x14:dxf>
              <font>
                <color theme="0"/>
              </font>
              <fill>
                <patternFill>
                  <bgColor theme="0"/>
                </patternFill>
              </fill>
            </x14:dxf>
          </x14:cfRule>
          <xm:sqref>U198</xm:sqref>
        </x14:conditionalFormatting>
        <x14:conditionalFormatting xmlns:xm="http://schemas.microsoft.com/office/excel/2006/main">
          <x14:cfRule type="expression" priority="906" id="{163E1F5B-646D-4C32-8017-FA50D55ADAF7}">
            <xm:f>$Z$8='Assessment Details'!$Q$23</xm:f>
            <x14:dxf>
              <border>
                <left style="thin">
                  <color theme="0"/>
                </left>
                <right style="thin">
                  <color theme="0"/>
                </right>
                <top style="thin">
                  <color theme="0"/>
                </top>
                <bottom style="thin">
                  <color theme="0"/>
                </bottom>
                <vertical/>
                <horizontal/>
              </border>
            </x14:dxf>
          </x14:cfRule>
          <xm:sqref>U198</xm:sqref>
        </x14:conditionalFormatting>
        <x14:conditionalFormatting xmlns:xm="http://schemas.microsoft.com/office/excel/2006/main">
          <x14:cfRule type="expression" priority="900" id="{A9A358BE-AE04-490A-B2F6-E1AF02BEC657}">
            <xm:f>$S$8='Assessment Details'!$Q$23</xm:f>
            <x14:dxf>
              <font>
                <color theme="0"/>
              </font>
              <fill>
                <patternFill>
                  <bgColor theme="0"/>
                </patternFill>
              </fill>
              <border>
                <vertical/>
                <horizontal/>
              </border>
            </x14:dxf>
          </x14:cfRule>
          <xm:sqref>Q197:R197</xm:sqref>
        </x14:conditionalFormatting>
        <x14:conditionalFormatting xmlns:xm="http://schemas.microsoft.com/office/excel/2006/main">
          <x14:cfRule type="expression" priority="899" id="{CAC97284-68A8-41C8-AD4C-2463D87E9601}">
            <xm:f>$S$8='Assessment Details'!$Q$23</xm:f>
            <x14:dxf>
              <border>
                <left style="thin">
                  <color theme="0"/>
                </left>
                <right style="thin">
                  <color theme="0"/>
                </right>
                <top style="thin">
                  <color theme="0"/>
                </top>
                <bottom style="thin">
                  <color theme="0"/>
                </bottom>
                <vertical/>
                <horizontal/>
              </border>
            </x14:dxf>
          </x14:cfRule>
          <xm:sqref>Q197:R197</xm:sqref>
        </x14:conditionalFormatting>
        <x14:conditionalFormatting xmlns:xm="http://schemas.microsoft.com/office/excel/2006/main">
          <x14:cfRule type="expression" priority="886" id="{E80368FD-C2FC-46DB-B8AC-3633FFC17C20}">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885" id="{BD2F9586-8A9C-4136-BEF7-6BE1F2EAB39B}">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882" id="{878A2DCC-515D-4CD5-8B70-E72BA35F09A6}">
            <xm:f>$Z$8='Assessment Details'!$Q$23</xm:f>
            <x14:dxf>
              <font>
                <color theme="0"/>
              </font>
              <fill>
                <patternFill>
                  <bgColor theme="0"/>
                </patternFill>
              </fill>
            </x14:dxf>
          </x14:cfRule>
          <xm:sqref>U197</xm:sqref>
        </x14:conditionalFormatting>
        <x14:conditionalFormatting xmlns:xm="http://schemas.microsoft.com/office/excel/2006/main">
          <x14:cfRule type="expression" priority="881" id="{6603C269-79BC-4AF0-A48B-5E9E9B275056}">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862"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861"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860"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859"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853"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852"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833"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832"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831"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830"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824"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823"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805" id="{5A63F7A5-EDFA-41B7-9A2B-2E3B5AC6501F}">
            <xm:f>$S$8='Assessment Details'!$Q$23</xm:f>
            <x14:dxf>
              <font>
                <color theme="0"/>
              </font>
              <fill>
                <patternFill>
                  <bgColor theme="0"/>
                </patternFill>
              </fill>
              <border>
                <vertical/>
                <horizontal/>
              </border>
            </x14:dxf>
          </x14:cfRule>
          <xm:sqref>N85</xm:sqref>
        </x14:conditionalFormatting>
        <x14:conditionalFormatting xmlns:xm="http://schemas.microsoft.com/office/excel/2006/main">
          <x14:cfRule type="expression" priority="804" id="{A2822926-0CDC-469D-810E-34D85549DB66}">
            <xm:f>$S$8='Assessment Details'!$Q$23</xm:f>
            <x14:dxf>
              <border>
                <left style="thin">
                  <color theme="0"/>
                </left>
                <right style="thin">
                  <color theme="0"/>
                </right>
                <top style="thin">
                  <color theme="0"/>
                </top>
                <bottom style="thin">
                  <color theme="0"/>
                </bottom>
                <vertical/>
                <horizontal/>
              </border>
            </x14:dxf>
          </x14:cfRule>
          <xm:sqref>N85</xm:sqref>
        </x14:conditionalFormatting>
        <x14:conditionalFormatting xmlns:xm="http://schemas.microsoft.com/office/excel/2006/main">
          <x14:cfRule type="expression" priority="803" id="{609FE846-1353-46BF-8A8E-52297A2A302F}">
            <xm:f>$Z$8='Assessment Details'!$Q$23</xm:f>
            <x14:dxf>
              <font>
                <color theme="0"/>
              </font>
              <fill>
                <patternFill>
                  <bgColor theme="0"/>
                </patternFill>
              </fill>
            </x14:dxf>
          </x14:cfRule>
          <xm:sqref>X85:Y85</xm:sqref>
        </x14:conditionalFormatting>
        <x14:conditionalFormatting xmlns:xm="http://schemas.microsoft.com/office/excel/2006/main">
          <x14:cfRule type="expression" priority="802" id="{813441FB-141C-4C98-AD40-F988DC41CADD}">
            <xm:f>$Z$8='Assessment Details'!$Q$23</xm:f>
            <x14:dxf>
              <border>
                <left style="thin">
                  <color theme="0"/>
                </left>
                <right style="thin">
                  <color theme="0"/>
                </right>
                <top style="thin">
                  <color theme="0"/>
                </top>
                <bottom style="thin">
                  <color theme="0"/>
                </bottom>
                <vertical/>
                <horizontal/>
              </border>
            </x14:dxf>
          </x14:cfRule>
          <xm:sqref>X85:Y85</xm:sqref>
        </x14:conditionalFormatting>
        <x14:conditionalFormatting xmlns:xm="http://schemas.microsoft.com/office/excel/2006/main">
          <x14:cfRule type="expression" priority="788" id="{7D01B325-A133-4A43-8630-C038C0769CE1}">
            <xm:f>$Z$8='Assessment Details'!$Q$23</xm:f>
            <x14:dxf>
              <font>
                <color theme="0"/>
              </font>
              <fill>
                <patternFill>
                  <bgColor theme="0"/>
                </patternFill>
              </fill>
            </x14:dxf>
          </x14:cfRule>
          <xm:sqref>U85</xm:sqref>
        </x14:conditionalFormatting>
        <x14:conditionalFormatting xmlns:xm="http://schemas.microsoft.com/office/excel/2006/main">
          <x14:cfRule type="expression" priority="787" id="{8C95A82D-2DB8-47B8-A590-797014BCF744}">
            <xm:f>$Z$8='Assessment Details'!$Q$23</xm:f>
            <x14:dxf>
              <border>
                <left style="thin">
                  <color theme="0"/>
                </left>
                <right style="thin">
                  <color theme="0"/>
                </right>
                <top style="thin">
                  <color theme="0"/>
                </top>
                <bottom style="thin">
                  <color theme="0"/>
                </bottom>
                <vertical/>
                <horizontal/>
              </border>
            </x14:dxf>
          </x14:cfRule>
          <xm:sqref>U85</xm:sqref>
        </x14:conditionalFormatting>
        <x14:conditionalFormatting xmlns:xm="http://schemas.microsoft.com/office/excel/2006/main">
          <x14:cfRule type="expression" priority="770" id="{69C310A9-BDC7-4B47-82CD-FC12E23ACA02}">
            <xm:f>$S$8='Assessment Details'!$Q$23</xm:f>
            <x14:dxf>
              <font>
                <color theme="0"/>
              </font>
              <fill>
                <patternFill>
                  <bgColor theme="0"/>
                </patternFill>
              </fill>
              <border>
                <vertical/>
                <horizontal/>
              </border>
            </x14:dxf>
          </x14:cfRule>
          <xm:sqref>Q99:R99</xm:sqref>
        </x14:conditionalFormatting>
        <x14:conditionalFormatting xmlns:xm="http://schemas.microsoft.com/office/excel/2006/main">
          <x14:cfRule type="expression" priority="769" id="{8866C9EC-AA27-438F-8DEF-B357553BAA70}">
            <xm:f>$S$8='Assessment Details'!$Q$23</xm:f>
            <x14:dxf>
              <border>
                <left style="thin">
                  <color theme="0"/>
                </left>
                <right style="thin">
                  <color theme="0"/>
                </right>
                <top style="thin">
                  <color theme="0"/>
                </top>
                <bottom style="thin">
                  <color theme="0"/>
                </bottom>
                <vertical/>
                <horizontal/>
              </border>
            </x14:dxf>
          </x14:cfRule>
          <xm:sqref>Q99:R99</xm:sqref>
        </x14:conditionalFormatting>
        <x14:conditionalFormatting xmlns:xm="http://schemas.microsoft.com/office/excel/2006/main">
          <x14:cfRule type="expression" priority="768" id="{369EE6F7-B847-4C15-9E39-4DF832F655E4}">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767" id="{DA9FEB1E-44CE-403C-8B7D-2BDCE1D252BF}">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753" id="{2ACB8806-BB00-4EEF-9AEF-4CAF9A1EE119}">
            <xm:f>$S$8='Assessment Details'!$Q$23</xm:f>
            <x14:dxf>
              <font>
                <color theme="0"/>
              </font>
              <fill>
                <patternFill>
                  <bgColor theme="0"/>
                </patternFill>
              </fill>
              <border>
                <vertical/>
                <horizontal/>
              </border>
            </x14:dxf>
          </x14:cfRule>
          <xm:sqref>N99</xm:sqref>
        </x14:conditionalFormatting>
        <x14:conditionalFormatting xmlns:xm="http://schemas.microsoft.com/office/excel/2006/main">
          <x14:cfRule type="expression" priority="752" id="{F31C36FB-66C8-460F-8266-75E37A5CC967}">
            <xm:f>$S$8='Assessment Details'!$Q$23</xm:f>
            <x14:dxf>
              <border>
                <left style="thin">
                  <color theme="0"/>
                </left>
                <right style="thin">
                  <color theme="0"/>
                </right>
                <top style="thin">
                  <color theme="0"/>
                </top>
                <bottom style="thin">
                  <color theme="0"/>
                </bottom>
                <vertical/>
                <horizontal/>
              </border>
            </x14:dxf>
          </x14:cfRule>
          <xm:sqref>N99</xm:sqref>
        </x14:conditionalFormatting>
        <x14:conditionalFormatting xmlns:xm="http://schemas.microsoft.com/office/excel/2006/main">
          <x14:cfRule type="expression" priority="749" id="{3D434EE4-339E-4213-A321-7B3E76D92597}">
            <xm:f>$Z$8='Assessment Details'!$Q$23</xm:f>
            <x14:dxf>
              <font>
                <color theme="0"/>
              </font>
              <fill>
                <patternFill>
                  <bgColor theme="0"/>
                </patternFill>
              </fill>
            </x14:dxf>
          </x14:cfRule>
          <xm:sqref>U99</xm:sqref>
        </x14:conditionalFormatting>
        <x14:conditionalFormatting xmlns:xm="http://schemas.microsoft.com/office/excel/2006/main">
          <x14:cfRule type="expression" priority="748" id="{983395C1-0379-4A53-B586-C7BB4E5634B8}">
            <xm:f>$Z$8='Assessment Details'!$Q$23</xm:f>
            <x14:dxf>
              <border>
                <left style="thin">
                  <color theme="0"/>
                </left>
                <right style="thin">
                  <color theme="0"/>
                </right>
                <top style="thin">
                  <color theme="0"/>
                </top>
                <bottom style="thin">
                  <color theme="0"/>
                </bottom>
                <vertical/>
                <horizontal/>
              </border>
            </x14:dxf>
          </x14:cfRule>
          <xm:sqref>U99</xm:sqref>
        </x14:conditionalFormatting>
        <x14:conditionalFormatting xmlns:xm="http://schemas.microsoft.com/office/excel/2006/main">
          <x14:cfRule type="expression" priority="738"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737"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733"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732"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701"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700"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94" id="{9A0ECD73-169E-4688-A925-E62F5A4942F3}">
            <xm:f>$S$8='Assessment Details'!$Q$23</xm:f>
            <x14:dxf>
              <font>
                <color theme="0"/>
              </font>
              <fill>
                <patternFill>
                  <bgColor theme="0"/>
                </patternFill>
              </fill>
              <border>
                <vertical/>
                <horizontal/>
              </border>
            </x14:dxf>
          </x14:cfRule>
          <xm:sqref>P64:P65</xm:sqref>
        </x14:conditionalFormatting>
        <x14:conditionalFormatting xmlns:xm="http://schemas.microsoft.com/office/excel/2006/main">
          <x14:cfRule type="expression" priority="693" id="{EBE9A871-3F99-4979-A4F4-2335F98EF000}">
            <xm:f>$S$8='Assessment Details'!$Q$23</xm:f>
            <x14:dxf>
              <border>
                <left style="thin">
                  <color theme="0"/>
                </left>
                <right style="thin">
                  <color theme="0"/>
                </right>
                <top style="thin">
                  <color theme="0"/>
                </top>
                <bottom style="thin">
                  <color theme="0"/>
                </bottom>
                <vertical/>
                <horizontal/>
              </border>
            </x14:dxf>
          </x14:cfRule>
          <xm:sqref>P64:P65</xm:sqref>
        </x14:conditionalFormatting>
        <x14:conditionalFormatting xmlns:xm="http://schemas.microsoft.com/office/excel/2006/main">
          <x14:cfRule type="expression" priority="687" id="{88731133-85C1-497D-8440-7304B836D6C7}">
            <xm:f>$S$8='Assessment Details'!$Q$23</xm:f>
            <x14:dxf>
              <font>
                <color theme="0"/>
              </font>
              <fill>
                <patternFill>
                  <bgColor theme="0"/>
                </patternFill>
              </fill>
              <border>
                <vertical/>
                <horizontal/>
              </border>
            </x14:dxf>
          </x14:cfRule>
          <xm:sqref>P93:P94</xm:sqref>
        </x14:conditionalFormatting>
        <x14:conditionalFormatting xmlns:xm="http://schemas.microsoft.com/office/excel/2006/main">
          <x14:cfRule type="expression" priority="686" id="{83A9A1C1-341F-4085-939C-5EB00F0A4EFD}">
            <xm:f>$S$8='Assessment Details'!$Q$23</xm:f>
            <x14:dxf>
              <border>
                <left style="thin">
                  <color theme="0"/>
                </left>
                <right style="thin">
                  <color theme="0"/>
                </right>
                <top style="thin">
                  <color theme="0"/>
                </top>
                <bottom style="thin">
                  <color theme="0"/>
                </bottom>
                <vertical/>
                <horizontal/>
              </border>
            </x14:dxf>
          </x14:cfRule>
          <xm:sqref>P93:P94</xm:sqref>
        </x14:conditionalFormatting>
        <x14:conditionalFormatting xmlns:xm="http://schemas.microsoft.com/office/excel/2006/main">
          <x14:cfRule type="expression" priority="680" id="{5736BA94-FE01-46BA-9EE9-706893E950AD}">
            <xm:f>$S$8='Assessment Details'!$Q$23</xm:f>
            <x14:dxf>
              <font>
                <color theme="0"/>
              </font>
              <fill>
                <patternFill>
                  <bgColor theme="0"/>
                </patternFill>
              </fill>
              <border>
                <vertical/>
                <horizontal/>
              </border>
            </x14:dxf>
          </x14:cfRule>
          <xm:sqref>P102:P103</xm:sqref>
        </x14:conditionalFormatting>
        <x14:conditionalFormatting xmlns:xm="http://schemas.microsoft.com/office/excel/2006/main">
          <x14:cfRule type="expression" priority="679" id="{B287D32D-09AC-4542-908E-5C03F7DF3000}">
            <xm:f>$S$8='Assessment Details'!$Q$23</xm:f>
            <x14:dxf>
              <border>
                <left style="thin">
                  <color theme="0"/>
                </left>
                <right style="thin">
                  <color theme="0"/>
                </right>
                <top style="thin">
                  <color theme="0"/>
                </top>
                <bottom style="thin">
                  <color theme="0"/>
                </bottom>
                <vertical/>
                <horizontal/>
              </border>
            </x14:dxf>
          </x14:cfRule>
          <xm:sqref>P102:P103</xm:sqref>
        </x14:conditionalFormatting>
        <x14:conditionalFormatting xmlns:xm="http://schemas.microsoft.com/office/excel/2006/main">
          <x14:cfRule type="expression" priority="673" id="{BAEC9280-F404-4074-ACAF-4F63E3923BED}">
            <xm:f>$S$8='Assessment Details'!$Q$23</xm:f>
            <x14:dxf>
              <font>
                <color theme="0"/>
              </font>
              <fill>
                <patternFill>
                  <bgColor theme="0"/>
                </patternFill>
              </fill>
              <border>
                <vertical/>
                <horizontal/>
              </border>
            </x14:dxf>
          </x14:cfRule>
          <xm:sqref>P116:P117</xm:sqref>
        </x14:conditionalFormatting>
        <x14:conditionalFormatting xmlns:xm="http://schemas.microsoft.com/office/excel/2006/main">
          <x14:cfRule type="expression" priority="672" id="{B72FF84F-18DD-4E5D-AA5C-62AF8BEB20C0}">
            <xm:f>$S$8='Assessment Details'!$Q$23</xm:f>
            <x14:dxf>
              <border>
                <left style="thin">
                  <color theme="0"/>
                </left>
                <right style="thin">
                  <color theme="0"/>
                </right>
                <top style="thin">
                  <color theme="0"/>
                </top>
                <bottom style="thin">
                  <color theme="0"/>
                </bottom>
                <vertical/>
                <horizontal/>
              </border>
            </x14:dxf>
          </x14:cfRule>
          <xm:sqref>P116:P117</xm:sqref>
        </x14:conditionalFormatting>
        <x14:conditionalFormatting xmlns:xm="http://schemas.microsoft.com/office/excel/2006/main">
          <x14:cfRule type="expression" priority="666" id="{182A97A1-8919-4F98-85C4-E0C267AD6962}">
            <xm:f>$S$8='Assessment Details'!$Q$23</xm:f>
            <x14:dxf>
              <font>
                <color theme="0"/>
              </font>
              <fill>
                <patternFill>
                  <bgColor theme="0"/>
                </patternFill>
              </fill>
              <border>
                <vertical/>
                <horizontal/>
              </border>
            </x14:dxf>
          </x14:cfRule>
          <xm:sqref>P146:P147</xm:sqref>
        </x14:conditionalFormatting>
        <x14:conditionalFormatting xmlns:xm="http://schemas.microsoft.com/office/excel/2006/main">
          <x14:cfRule type="expression" priority="665" id="{D469E189-23D1-496D-8C4E-E6AA0AAB74A2}">
            <xm:f>$S$8='Assessment Details'!$Q$23</xm:f>
            <x14:dxf>
              <border>
                <left style="thin">
                  <color theme="0"/>
                </left>
                <right style="thin">
                  <color theme="0"/>
                </right>
                <top style="thin">
                  <color theme="0"/>
                </top>
                <bottom style="thin">
                  <color theme="0"/>
                </bottom>
                <vertical/>
                <horizontal/>
              </border>
            </x14:dxf>
          </x14:cfRule>
          <xm:sqref>P146:P147</xm:sqref>
        </x14:conditionalFormatting>
        <x14:conditionalFormatting xmlns:xm="http://schemas.microsoft.com/office/excel/2006/main">
          <x14:cfRule type="expression" priority="659" id="{288F7C53-6249-4956-B63F-F9F31F7E07EB}">
            <xm:f>$S$8='Assessment Details'!$Q$23</xm:f>
            <x14:dxf>
              <font>
                <color theme="0"/>
              </font>
              <fill>
                <patternFill>
                  <bgColor theme="0"/>
                </patternFill>
              </fill>
              <border>
                <vertical/>
                <horizontal/>
              </border>
            </x14:dxf>
          </x14:cfRule>
          <xm:sqref>P161:P162</xm:sqref>
        </x14:conditionalFormatting>
        <x14:conditionalFormatting xmlns:xm="http://schemas.microsoft.com/office/excel/2006/main">
          <x14:cfRule type="expression" priority="658" id="{2C5498B1-8C8E-47D5-A2F1-8DA973C74463}">
            <xm:f>$S$8='Assessment Details'!$Q$23</xm:f>
            <x14:dxf>
              <border>
                <left style="thin">
                  <color theme="0"/>
                </left>
                <right style="thin">
                  <color theme="0"/>
                </right>
                <top style="thin">
                  <color theme="0"/>
                </top>
                <bottom style="thin">
                  <color theme="0"/>
                </bottom>
                <vertical/>
                <horizontal/>
              </border>
            </x14:dxf>
          </x14:cfRule>
          <xm:sqref>P161:P162</xm:sqref>
        </x14:conditionalFormatting>
        <x14:conditionalFormatting xmlns:xm="http://schemas.microsoft.com/office/excel/2006/main">
          <x14:cfRule type="expression" priority="652" id="{74C1B7DC-0D98-4E3D-99BC-38306C50C7CC}">
            <xm:f>$S$8='Assessment Details'!$Q$23</xm:f>
            <x14:dxf>
              <font>
                <color theme="0"/>
              </font>
              <fill>
                <patternFill>
                  <bgColor theme="0"/>
                </patternFill>
              </fill>
              <border>
                <vertical/>
                <horizontal/>
              </border>
            </x14:dxf>
          </x14:cfRule>
          <xm:sqref>P193:P194</xm:sqref>
        </x14:conditionalFormatting>
        <x14:conditionalFormatting xmlns:xm="http://schemas.microsoft.com/office/excel/2006/main">
          <x14:cfRule type="expression" priority="651" id="{7ED43190-5314-425F-9359-B4E182C97424}">
            <xm:f>$S$8='Assessment Details'!$Q$23</xm:f>
            <x14:dxf>
              <border>
                <left style="thin">
                  <color theme="0"/>
                </left>
                <right style="thin">
                  <color theme="0"/>
                </right>
                <top style="thin">
                  <color theme="0"/>
                </top>
                <bottom style="thin">
                  <color theme="0"/>
                </bottom>
                <vertical/>
                <horizontal/>
              </border>
            </x14:dxf>
          </x14:cfRule>
          <xm:sqref>P193:P194</xm:sqref>
        </x14:conditionalFormatting>
        <x14:conditionalFormatting xmlns:xm="http://schemas.microsoft.com/office/excel/2006/main">
          <x14:cfRule type="expression" priority="645" id="{4A98C8D9-E7DE-435C-A48A-376A9AF70F60}">
            <xm:f>$S$8='Assessment Details'!$Q$23</xm:f>
            <x14:dxf>
              <font>
                <color theme="0"/>
              </font>
              <fill>
                <patternFill>
                  <bgColor theme="0"/>
                </patternFill>
              </fill>
              <border>
                <vertical/>
                <horizontal/>
              </border>
            </x14:dxf>
          </x14:cfRule>
          <xm:sqref>P210:P211</xm:sqref>
        </x14:conditionalFormatting>
        <x14:conditionalFormatting xmlns:xm="http://schemas.microsoft.com/office/excel/2006/main">
          <x14:cfRule type="expression" priority="644" id="{9A98555B-286B-4BCF-80C8-2808A450F13B}">
            <xm:f>$S$8='Assessment Details'!$Q$23</xm:f>
            <x14:dxf>
              <border>
                <left style="thin">
                  <color theme="0"/>
                </left>
                <right style="thin">
                  <color theme="0"/>
                </right>
                <top style="thin">
                  <color theme="0"/>
                </top>
                <bottom style="thin">
                  <color theme="0"/>
                </bottom>
                <vertical/>
                <horizontal/>
              </border>
            </x14:dxf>
          </x14:cfRule>
          <xm:sqref>P210:P211</xm:sqref>
        </x14:conditionalFormatting>
        <x14:conditionalFormatting xmlns:xm="http://schemas.microsoft.com/office/excel/2006/main">
          <x14:cfRule type="expression" priority="616"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615"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609" id="{56AD95EA-5B74-4280-B8EE-32D6E0A2A840}">
            <xm:f>$S$8='Assessment Details'!$Q$23</xm:f>
            <x14:dxf>
              <font>
                <color theme="0"/>
              </font>
              <fill>
                <patternFill>
                  <bgColor theme="0"/>
                </patternFill>
              </fill>
              <border>
                <vertical/>
                <horizontal/>
              </border>
            </x14:dxf>
          </x14:cfRule>
          <xm:sqref>W64:W65</xm:sqref>
        </x14:conditionalFormatting>
        <x14:conditionalFormatting xmlns:xm="http://schemas.microsoft.com/office/excel/2006/main">
          <x14:cfRule type="expression" priority="608" id="{B29C4BCE-0079-496D-8EDC-BDB4F14A6BE5}">
            <xm:f>$S$8='Assessment Details'!$Q$23</xm:f>
            <x14:dxf>
              <border>
                <left style="thin">
                  <color theme="0"/>
                </left>
                <right style="thin">
                  <color theme="0"/>
                </right>
                <top style="thin">
                  <color theme="0"/>
                </top>
                <bottom style="thin">
                  <color theme="0"/>
                </bottom>
                <vertical/>
                <horizontal/>
              </border>
            </x14:dxf>
          </x14:cfRule>
          <xm:sqref>W64:W65</xm:sqref>
        </x14:conditionalFormatting>
        <x14:conditionalFormatting xmlns:xm="http://schemas.microsoft.com/office/excel/2006/main">
          <x14:cfRule type="expression" priority="602" id="{703C8C6D-B206-4EA6-8EF5-42C47E7733B6}">
            <xm:f>$S$8='Assessment Details'!$Q$23</xm:f>
            <x14:dxf>
              <font>
                <color theme="0"/>
              </font>
              <fill>
                <patternFill>
                  <bgColor theme="0"/>
                </patternFill>
              </fill>
              <border>
                <vertical/>
                <horizontal/>
              </border>
            </x14:dxf>
          </x14:cfRule>
          <xm:sqref>W93:W94</xm:sqref>
        </x14:conditionalFormatting>
        <x14:conditionalFormatting xmlns:xm="http://schemas.microsoft.com/office/excel/2006/main">
          <x14:cfRule type="expression" priority="601" id="{FCC3926C-CE4D-447F-B735-42A02E10F3CC}">
            <xm:f>$S$8='Assessment Details'!$Q$23</xm:f>
            <x14:dxf>
              <border>
                <left style="thin">
                  <color theme="0"/>
                </left>
                <right style="thin">
                  <color theme="0"/>
                </right>
                <top style="thin">
                  <color theme="0"/>
                </top>
                <bottom style="thin">
                  <color theme="0"/>
                </bottom>
                <vertical/>
                <horizontal/>
              </border>
            </x14:dxf>
          </x14:cfRule>
          <xm:sqref>W93:W94</xm:sqref>
        </x14:conditionalFormatting>
        <x14:conditionalFormatting xmlns:xm="http://schemas.microsoft.com/office/excel/2006/main">
          <x14:cfRule type="expression" priority="595" id="{34E6D511-70AB-4E9D-B5C3-3CA4966EA31C}">
            <xm:f>$S$8='Assessment Details'!$Q$23</xm:f>
            <x14:dxf>
              <font>
                <color theme="0"/>
              </font>
              <fill>
                <patternFill>
                  <bgColor theme="0"/>
                </patternFill>
              </fill>
              <border>
                <vertical/>
                <horizontal/>
              </border>
            </x14:dxf>
          </x14:cfRule>
          <xm:sqref>W102:W103</xm:sqref>
        </x14:conditionalFormatting>
        <x14:conditionalFormatting xmlns:xm="http://schemas.microsoft.com/office/excel/2006/main">
          <x14:cfRule type="expression" priority="594" id="{B7DC1EBD-D6C5-4B8C-8B3A-9E4F0FEC1CB8}">
            <xm:f>$S$8='Assessment Details'!$Q$23</xm:f>
            <x14:dxf>
              <border>
                <left style="thin">
                  <color theme="0"/>
                </left>
                <right style="thin">
                  <color theme="0"/>
                </right>
                <top style="thin">
                  <color theme="0"/>
                </top>
                <bottom style="thin">
                  <color theme="0"/>
                </bottom>
                <vertical/>
                <horizontal/>
              </border>
            </x14:dxf>
          </x14:cfRule>
          <xm:sqref>W102:W103</xm:sqref>
        </x14:conditionalFormatting>
        <x14:conditionalFormatting xmlns:xm="http://schemas.microsoft.com/office/excel/2006/main">
          <x14:cfRule type="expression" priority="588" id="{F94B71A7-BD36-4236-A6DC-1AAF0A79DA9C}">
            <xm:f>$S$8='Assessment Details'!$Q$23</xm:f>
            <x14:dxf>
              <font>
                <color theme="0"/>
              </font>
              <fill>
                <patternFill>
                  <bgColor theme="0"/>
                </patternFill>
              </fill>
              <border>
                <vertical/>
                <horizontal/>
              </border>
            </x14:dxf>
          </x14:cfRule>
          <xm:sqref>W116:W117</xm:sqref>
        </x14:conditionalFormatting>
        <x14:conditionalFormatting xmlns:xm="http://schemas.microsoft.com/office/excel/2006/main">
          <x14:cfRule type="expression" priority="587" id="{33E3661B-D345-4D41-B2F3-A7D4897D48C9}">
            <xm:f>$S$8='Assessment Details'!$Q$23</xm:f>
            <x14:dxf>
              <border>
                <left style="thin">
                  <color theme="0"/>
                </left>
                <right style="thin">
                  <color theme="0"/>
                </right>
                <top style="thin">
                  <color theme="0"/>
                </top>
                <bottom style="thin">
                  <color theme="0"/>
                </bottom>
                <vertical/>
                <horizontal/>
              </border>
            </x14:dxf>
          </x14:cfRule>
          <xm:sqref>W116:W117</xm:sqref>
        </x14:conditionalFormatting>
        <x14:conditionalFormatting xmlns:xm="http://schemas.microsoft.com/office/excel/2006/main">
          <x14:cfRule type="expression" priority="581" id="{C86AD676-9B60-41E2-B9D1-2A4407514768}">
            <xm:f>$S$8='Assessment Details'!$Q$23</xm:f>
            <x14:dxf>
              <font>
                <color theme="0"/>
              </font>
              <fill>
                <patternFill>
                  <bgColor theme="0"/>
                </patternFill>
              </fill>
              <border>
                <vertical/>
                <horizontal/>
              </border>
            </x14:dxf>
          </x14:cfRule>
          <xm:sqref>W146:W147</xm:sqref>
        </x14:conditionalFormatting>
        <x14:conditionalFormatting xmlns:xm="http://schemas.microsoft.com/office/excel/2006/main">
          <x14:cfRule type="expression" priority="580" id="{B009EFF1-5C4E-404B-97CB-A75E98C24251}">
            <xm:f>$S$8='Assessment Details'!$Q$23</xm:f>
            <x14:dxf>
              <border>
                <left style="thin">
                  <color theme="0"/>
                </left>
                <right style="thin">
                  <color theme="0"/>
                </right>
                <top style="thin">
                  <color theme="0"/>
                </top>
                <bottom style="thin">
                  <color theme="0"/>
                </bottom>
                <vertical/>
                <horizontal/>
              </border>
            </x14:dxf>
          </x14:cfRule>
          <xm:sqref>W146:W147</xm:sqref>
        </x14:conditionalFormatting>
        <x14:conditionalFormatting xmlns:xm="http://schemas.microsoft.com/office/excel/2006/main">
          <x14:cfRule type="expression" priority="574" id="{6323C794-8A7C-4992-8E90-CAF3FDDFA08D}">
            <xm:f>$S$8='Assessment Details'!$Q$23</xm:f>
            <x14:dxf>
              <font>
                <color theme="0"/>
              </font>
              <fill>
                <patternFill>
                  <bgColor theme="0"/>
                </patternFill>
              </fill>
              <border>
                <vertical/>
                <horizontal/>
              </border>
            </x14:dxf>
          </x14:cfRule>
          <xm:sqref>W161:W162</xm:sqref>
        </x14:conditionalFormatting>
        <x14:conditionalFormatting xmlns:xm="http://schemas.microsoft.com/office/excel/2006/main">
          <x14:cfRule type="expression" priority="573" id="{F0873F40-3A68-4411-B534-637CE6F9DFA3}">
            <xm:f>$S$8='Assessment Details'!$Q$23</xm:f>
            <x14:dxf>
              <border>
                <left style="thin">
                  <color theme="0"/>
                </left>
                <right style="thin">
                  <color theme="0"/>
                </right>
                <top style="thin">
                  <color theme="0"/>
                </top>
                <bottom style="thin">
                  <color theme="0"/>
                </bottom>
                <vertical/>
                <horizontal/>
              </border>
            </x14:dxf>
          </x14:cfRule>
          <xm:sqref>W161:W162</xm:sqref>
        </x14:conditionalFormatting>
        <x14:conditionalFormatting xmlns:xm="http://schemas.microsoft.com/office/excel/2006/main">
          <x14:cfRule type="expression" priority="567" id="{FCD05809-E385-43B1-BEE9-32BBF65D574F}">
            <xm:f>$S$8='Assessment Details'!$Q$23</xm:f>
            <x14:dxf>
              <font>
                <color theme="0"/>
              </font>
              <fill>
                <patternFill>
                  <bgColor theme="0"/>
                </patternFill>
              </fill>
              <border>
                <vertical/>
                <horizontal/>
              </border>
            </x14:dxf>
          </x14:cfRule>
          <xm:sqref>W193:W194</xm:sqref>
        </x14:conditionalFormatting>
        <x14:conditionalFormatting xmlns:xm="http://schemas.microsoft.com/office/excel/2006/main">
          <x14:cfRule type="expression" priority="566" id="{7FDAF1A2-2419-4B82-B8EF-8158B62BB591}">
            <xm:f>$S$8='Assessment Details'!$Q$23</xm:f>
            <x14:dxf>
              <border>
                <left style="thin">
                  <color theme="0"/>
                </left>
                <right style="thin">
                  <color theme="0"/>
                </right>
                <top style="thin">
                  <color theme="0"/>
                </top>
                <bottom style="thin">
                  <color theme="0"/>
                </bottom>
                <vertical/>
                <horizontal/>
              </border>
            </x14:dxf>
          </x14:cfRule>
          <xm:sqref>W193:W194</xm:sqref>
        </x14:conditionalFormatting>
        <x14:conditionalFormatting xmlns:xm="http://schemas.microsoft.com/office/excel/2006/main">
          <x14:cfRule type="expression" priority="560" id="{A07BA65D-7D48-4F65-A996-E0325805E0BB}">
            <xm:f>$S$8='Assessment Details'!$Q$23</xm:f>
            <x14:dxf>
              <font>
                <color theme="0"/>
              </font>
              <fill>
                <patternFill>
                  <bgColor theme="0"/>
                </patternFill>
              </fill>
              <border>
                <vertical/>
                <horizontal/>
              </border>
            </x14:dxf>
          </x14:cfRule>
          <xm:sqref>W210:W211</xm:sqref>
        </x14:conditionalFormatting>
        <x14:conditionalFormatting xmlns:xm="http://schemas.microsoft.com/office/excel/2006/main">
          <x14:cfRule type="expression" priority="559" id="{E1516C20-E913-452D-8F9C-E50184B72040}">
            <xm:f>$S$8='Assessment Details'!$Q$23</xm:f>
            <x14:dxf>
              <border>
                <left style="thin">
                  <color theme="0"/>
                </left>
                <right style="thin">
                  <color theme="0"/>
                </right>
                <top style="thin">
                  <color theme="0"/>
                </top>
                <bottom style="thin">
                  <color theme="0"/>
                </bottom>
                <vertical/>
                <horizontal/>
              </border>
            </x14:dxf>
          </x14:cfRule>
          <xm:sqref>W210:W211</xm:sqref>
        </x14:conditionalFormatting>
        <x14:conditionalFormatting xmlns:xm="http://schemas.microsoft.com/office/excel/2006/main">
          <x14:cfRule type="expression" priority="5345" id="{1A60305C-32B7-4D4F-9804-69A16324B9A7}">
            <xm:f>$S$8='Assessment Details'!$Q$23</xm:f>
            <x14:dxf>
              <border>
                <vertical/>
                <horizontal/>
              </border>
            </x14:dxf>
          </x14:cfRule>
          <xm:sqref>N9:S9</xm:sqref>
        </x14:conditionalFormatting>
        <x14:conditionalFormatting xmlns:xm="http://schemas.microsoft.com/office/excel/2006/main">
          <x14:cfRule type="expression" priority="291" id="{316732AE-0C92-4BAF-87A4-73920F4C29A8}">
            <xm:f>$S$8='Assessment Details'!$Q$23</xm:f>
            <x14:dxf>
              <font>
                <color theme="0"/>
              </font>
              <fill>
                <patternFill>
                  <bgColor theme="0"/>
                </patternFill>
              </fill>
              <border>
                <vertical/>
                <horizontal/>
              </border>
            </x14:dxf>
          </x14:cfRule>
          <xm:sqref>N39:N40</xm:sqref>
        </x14:conditionalFormatting>
        <x14:conditionalFormatting xmlns:xm="http://schemas.microsoft.com/office/excel/2006/main">
          <x14:cfRule type="expression" priority="290" id="{349D7929-A46C-4B01-9FA8-9196D94CB8E9}">
            <xm:f>$S$8='Assessment Details'!$Q$23</xm:f>
            <x14:dxf>
              <border>
                <left style="thin">
                  <color theme="0"/>
                </left>
                <right style="thin">
                  <color theme="0"/>
                </right>
                <top style="thin">
                  <color theme="0"/>
                </top>
                <bottom style="thin">
                  <color theme="0"/>
                </bottom>
                <vertical/>
                <horizontal/>
              </border>
            </x14:dxf>
          </x14:cfRule>
          <xm:sqref>N39:N40</xm:sqref>
        </x14:conditionalFormatting>
        <x14:conditionalFormatting xmlns:xm="http://schemas.microsoft.com/office/excel/2006/main">
          <x14:cfRule type="expression" priority="284" id="{EE5D9CA1-F0E4-419F-910C-6DE85D74E322}">
            <xm:f>$Z$8='Assessment Details'!$Q$23</xm:f>
            <x14:dxf>
              <font>
                <color theme="0"/>
              </font>
              <fill>
                <patternFill>
                  <bgColor theme="0"/>
                </patternFill>
              </fill>
            </x14:dxf>
          </x14:cfRule>
          <xm:sqref>U39:U40</xm:sqref>
        </x14:conditionalFormatting>
        <x14:conditionalFormatting xmlns:xm="http://schemas.microsoft.com/office/excel/2006/main">
          <x14:cfRule type="expression" priority="283" id="{0ED5B0BE-EB5F-459A-97B7-CB07977EF185}">
            <xm:f>$Z$8='Assessment Details'!$Q$23</xm:f>
            <x14:dxf>
              <border>
                <left style="thin">
                  <color theme="0"/>
                </left>
                <right style="thin">
                  <color theme="0"/>
                </right>
                <top style="thin">
                  <color theme="0"/>
                </top>
                <bottom style="thin">
                  <color theme="0"/>
                </bottom>
                <vertical/>
                <horizontal/>
              </border>
            </x14:dxf>
          </x14:cfRule>
          <xm:sqref>U39:U40</xm:sqref>
        </x14:conditionalFormatting>
        <x14:conditionalFormatting xmlns:xm="http://schemas.microsoft.com/office/excel/2006/main">
          <x14:cfRule type="expression" priority="264" id="{65CA73E6-BD38-436B-8667-DF9AAF8E6316}">
            <xm:f>$S$8='Assessment Details'!$Q$23</xm:f>
            <x14:dxf>
              <font>
                <color theme="0"/>
              </font>
              <fill>
                <patternFill>
                  <bgColor theme="0"/>
                </patternFill>
              </fill>
              <border>
                <vertical/>
                <horizontal/>
              </border>
            </x14:dxf>
          </x14:cfRule>
          <xm:sqref>Q153:R153</xm:sqref>
        </x14:conditionalFormatting>
        <x14:conditionalFormatting xmlns:xm="http://schemas.microsoft.com/office/excel/2006/main">
          <x14:cfRule type="expression" priority="263" id="{3A565662-0B6D-4CA4-945C-1FAF4D2A9455}">
            <xm:f>$S$8='Assessment Details'!$Q$23</xm:f>
            <x14:dxf>
              <border>
                <left style="thin">
                  <color theme="0"/>
                </left>
                <right style="thin">
                  <color theme="0"/>
                </right>
                <top style="thin">
                  <color theme="0"/>
                </top>
                <bottom style="thin">
                  <color theme="0"/>
                </bottom>
                <vertical/>
                <horizontal/>
              </border>
            </x14:dxf>
          </x14:cfRule>
          <xm:sqref>Q153:R153</xm:sqref>
        </x14:conditionalFormatting>
        <x14:conditionalFormatting xmlns:xm="http://schemas.microsoft.com/office/excel/2006/main">
          <x14:cfRule type="expression" priority="255" id="{08BEB683-C2B8-49B9-8E2B-8E5DF0EAEDE1}">
            <xm:f>$S$8='Assessment Details'!$Q$23</xm:f>
            <x14:dxf>
              <font>
                <color theme="0"/>
              </font>
              <fill>
                <patternFill>
                  <bgColor theme="0"/>
                </patternFill>
              </fill>
              <border>
                <vertical/>
                <horizontal/>
              </border>
            </x14:dxf>
          </x14:cfRule>
          <xm:sqref>N153</xm:sqref>
        </x14:conditionalFormatting>
        <x14:conditionalFormatting xmlns:xm="http://schemas.microsoft.com/office/excel/2006/main">
          <x14:cfRule type="expression" priority="254" id="{B351332A-CDBD-4BF2-B68B-54A083937E14}">
            <xm:f>$S$8='Assessment Details'!$Q$23</xm:f>
            <x14:dxf>
              <border>
                <left style="thin">
                  <color theme="0"/>
                </left>
                <right style="thin">
                  <color theme="0"/>
                </right>
                <top style="thin">
                  <color theme="0"/>
                </top>
                <bottom style="thin">
                  <color theme="0"/>
                </bottom>
                <vertical/>
                <horizontal/>
              </border>
            </x14:dxf>
          </x14:cfRule>
          <xm:sqref>N153</xm:sqref>
        </x14:conditionalFormatting>
        <x14:conditionalFormatting xmlns:xm="http://schemas.microsoft.com/office/excel/2006/main">
          <x14:cfRule type="expression" priority="247" id="{54BAFC6B-26D6-45D6-B24F-D347232A6286}">
            <xm:f>$Z$8='Assessment Details'!$Q$23</xm:f>
            <x14:dxf>
              <font>
                <color theme="0"/>
              </font>
              <fill>
                <patternFill>
                  <bgColor theme="0"/>
                </patternFill>
              </fill>
            </x14:dxf>
          </x14:cfRule>
          <xm:sqref>X153:Y153</xm:sqref>
        </x14:conditionalFormatting>
        <x14:conditionalFormatting xmlns:xm="http://schemas.microsoft.com/office/excel/2006/main">
          <x14:cfRule type="expression" priority="246" id="{4D014AA0-BD19-4252-AD63-B82775449FD7}">
            <xm:f>$Z$8='Assessment Details'!$Q$23</xm:f>
            <x14:dxf>
              <border>
                <left style="thin">
                  <color theme="0"/>
                </left>
                <right style="thin">
                  <color theme="0"/>
                </right>
                <top style="thin">
                  <color theme="0"/>
                </top>
                <bottom style="thin">
                  <color theme="0"/>
                </bottom>
                <vertical/>
                <horizontal/>
              </border>
            </x14:dxf>
          </x14:cfRule>
          <xm:sqref>X153:Y153</xm:sqref>
        </x14:conditionalFormatting>
        <x14:conditionalFormatting xmlns:xm="http://schemas.microsoft.com/office/excel/2006/main">
          <x14:cfRule type="expression" priority="242" id="{44621CD4-E4DB-4918-8BED-0B3E67666858}">
            <xm:f>$Z$8='Assessment Details'!$Q$23</xm:f>
            <x14:dxf>
              <font>
                <color theme="0"/>
              </font>
              <fill>
                <patternFill>
                  <bgColor theme="0"/>
                </patternFill>
              </fill>
            </x14:dxf>
          </x14:cfRule>
          <xm:sqref>U153</xm:sqref>
        </x14:conditionalFormatting>
        <x14:conditionalFormatting xmlns:xm="http://schemas.microsoft.com/office/excel/2006/main">
          <x14:cfRule type="expression" priority="241" id="{DFF0AE6B-5353-4A62-8464-F3E14179ED2E}">
            <xm:f>$Z$8='Assessment Details'!$Q$23</xm:f>
            <x14:dxf>
              <border>
                <left style="thin">
                  <color theme="0"/>
                </left>
                <right style="thin">
                  <color theme="0"/>
                </right>
                <top style="thin">
                  <color theme="0"/>
                </top>
                <bottom style="thin">
                  <color theme="0"/>
                </bottom>
                <vertical/>
                <horizontal/>
              </border>
            </x14:dxf>
          </x14:cfRule>
          <xm:sqref>U153</xm:sqref>
        </x14:conditionalFormatting>
        <x14:conditionalFormatting xmlns:xm="http://schemas.microsoft.com/office/excel/2006/main">
          <x14:cfRule type="expression" priority="228" id="{CB642F8B-2E61-4CCA-845E-E9BF5EBC7179}">
            <xm:f>$S$8='Assessment Details'!$Q$23</xm:f>
            <x14:dxf>
              <font>
                <color theme="0"/>
              </font>
              <fill>
                <patternFill>
                  <bgColor theme="0"/>
                </patternFill>
              </fill>
              <border>
                <vertical/>
                <horizontal/>
              </border>
            </x14:dxf>
          </x14:cfRule>
          <xm:sqref>Q165</xm:sqref>
        </x14:conditionalFormatting>
        <x14:conditionalFormatting xmlns:xm="http://schemas.microsoft.com/office/excel/2006/main">
          <x14:cfRule type="expression" priority="227" id="{1A8B2317-D8BB-49D8-B51C-6BCC62A1BB7D}">
            <xm:f>$S$8='Assessment Details'!$Q$23</xm:f>
            <x14:dxf>
              <border>
                <left style="thin">
                  <color theme="0"/>
                </left>
                <right style="thin">
                  <color theme="0"/>
                </right>
                <top style="thin">
                  <color theme="0"/>
                </top>
                <bottom style="thin">
                  <color theme="0"/>
                </bottom>
                <vertical/>
                <horizontal/>
              </border>
            </x14:dxf>
          </x14:cfRule>
          <xm:sqref>Q165</xm:sqref>
        </x14:conditionalFormatting>
        <x14:conditionalFormatting xmlns:xm="http://schemas.microsoft.com/office/excel/2006/main">
          <x14:cfRule type="expression" priority="219" id="{934EF046-70D2-46EA-81CD-20AF2A8CEC09}">
            <xm:f>$S$8='Assessment Details'!$Q$23</xm:f>
            <x14:dxf>
              <font>
                <color theme="0"/>
              </font>
              <fill>
                <patternFill>
                  <bgColor theme="0"/>
                </patternFill>
              </fill>
              <border>
                <vertical/>
                <horizontal/>
              </border>
            </x14:dxf>
          </x14:cfRule>
          <xm:sqref>N165</xm:sqref>
        </x14:conditionalFormatting>
        <x14:conditionalFormatting xmlns:xm="http://schemas.microsoft.com/office/excel/2006/main">
          <x14:cfRule type="expression" priority="218" id="{09CA425F-C18C-4B7E-B211-7F4BD61EB152}">
            <xm:f>$S$8='Assessment Details'!$Q$23</xm:f>
            <x14:dxf>
              <border>
                <left style="thin">
                  <color theme="0"/>
                </left>
                <right style="thin">
                  <color theme="0"/>
                </right>
                <top style="thin">
                  <color theme="0"/>
                </top>
                <bottom style="thin">
                  <color theme="0"/>
                </bottom>
                <vertical/>
                <horizontal/>
              </border>
            </x14:dxf>
          </x14:cfRule>
          <xm:sqref>N165</xm:sqref>
        </x14:conditionalFormatting>
        <x14:conditionalFormatting xmlns:xm="http://schemas.microsoft.com/office/excel/2006/main">
          <x14:cfRule type="expression" priority="211" id="{B2FC46A1-2C92-496B-9E89-791D09A9AF0B}">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210" id="{A1E9EE4F-CE82-46D0-BBA8-D422B26625B9}">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206" id="{645F55AC-AEC3-49A7-9FF8-9C56EC37578F}">
            <xm:f>$Z$8='Assessment Details'!$Q$23</xm:f>
            <x14:dxf>
              <font>
                <color theme="0"/>
              </font>
              <fill>
                <patternFill>
                  <bgColor theme="0"/>
                </patternFill>
              </fill>
            </x14:dxf>
          </x14:cfRule>
          <xm:sqref>U165</xm:sqref>
        </x14:conditionalFormatting>
        <x14:conditionalFormatting xmlns:xm="http://schemas.microsoft.com/office/excel/2006/main">
          <x14:cfRule type="expression" priority="205" id="{E3A3E958-208D-4007-9FEE-45A1BE170DA7}">
            <xm:f>$Z$8='Assessment Details'!$Q$23</xm:f>
            <x14:dxf>
              <border>
                <left style="thin">
                  <color theme="0"/>
                </left>
                <right style="thin">
                  <color theme="0"/>
                </right>
                <top style="thin">
                  <color theme="0"/>
                </top>
                <bottom style="thin">
                  <color theme="0"/>
                </bottom>
                <vertical/>
                <horizontal/>
              </border>
            </x14:dxf>
          </x14:cfRule>
          <xm:sqref>U165</xm:sqref>
        </x14:conditionalFormatting>
        <x14:conditionalFormatting xmlns:xm="http://schemas.microsoft.com/office/excel/2006/main">
          <x14:cfRule type="expression" priority="190" id="{040902CE-9860-413B-A8E8-2BA69DC644F4}">
            <xm:f>$S$8='Assessment Details'!$Q$23</xm:f>
            <x14:dxf>
              <font>
                <color theme="0"/>
              </font>
              <fill>
                <patternFill>
                  <bgColor theme="0"/>
                </patternFill>
              </fill>
              <border>
                <vertical/>
                <horizontal/>
              </border>
            </x14:dxf>
          </x14:cfRule>
          <xm:sqref>N70</xm:sqref>
        </x14:conditionalFormatting>
        <x14:conditionalFormatting xmlns:xm="http://schemas.microsoft.com/office/excel/2006/main">
          <x14:cfRule type="expression" priority="189" id="{7D7C6925-A257-49BE-A707-A28D0318336B}">
            <xm:f>$S$8='Assessment Details'!$Q$23</xm:f>
            <x14:dxf>
              <border>
                <left style="thin">
                  <color theme="0"/>
                </left>
                <right style="thin">
                  <color theme="0"/>
                </right>
                <top style="thin">
                  <color theme="0"/>
                </top>
                <bottom style="thin">
                  <color theme="0"/>
                </bottom>
                <vertical/>
                <horizontal/>
              </border>
            </x14:dxf>
          </x14:cfRule>
          <xm:sqref>N70</xm:sqref>
        </x14:conditionalFormatting>
        <x14:conditionalFormatting xmlns:xm="http://schemas.microsoft.com/office/excel/2006/main">
          <x14:cfRule type="expression" priority="179" id="{211DBCB8-0A17-42FE-9246-881838AB152E}">
            <xm:f>$Z$8='Assessment Details'!$Q$23</xm:f>
            <x14:dxf>
              <font>
                <color theme="0"/>
              </font>
              <fill>
                <patternFill>
                  <bgColor theme="0"/>
                </patternFill>
              </fill>
              <border>
                <left/>
                <right/>
                <top/>
                <bottom/>
              </border>
            </x14:dxf>
          </x14:cfRule>
          <xm:sqref>U70</xm:sqref>
        </x14:conditionalFormatting>
        <x14:conditionalFormatting xmlns:xm="http://schemas.microsoft.com/office/excel/2006/main">
          <x14:cfRule type="expression" priority="181" id="{37EEC3DA-3771-43C1-84AB-4DF49BD6D9B7}">
            <xm:f>$Z$8='Assessment Details'!$Q$23</xm:f>
            <x14:dxf>
              <font>
                <color theme="0"/>
              </font>
              <fill>
                <patternFill>
                  <bgColor theme="0"/>
                </patternFill>
              </fill>
            </x14:dxf>
          </x14:cfRule>
          <xm:sqref>U70</xm:sqref>
        </x14:conditionalFormatting>
        <x14:conditionalFormatting xmlns:xm="http://schemas.microsoft.com/office/excel/2006/main">
          <x14:cfRule type="expression" priority="180" id="{0341C9CF-C989-455B-BED3-3F5C54F48A03}">
            <xm:f>$Z$8='Assessment Details'!$Q$23</xm:f>
            <x14:dxf>
              <border>
                <left style="thin">
                  <color theme="0"/>
                </left>
                <right style="thin">
                  <color theme="0"/>
                </right>
                <top style="thin">
                  <color theme="0"/>
                </top>
                <bottom style="thin">
                  <color theme="0"/>
                </bottom>
                <vertical/>
                <horizontal/>
              </border>
            </x14:dxf>
          </x14:cfRule>
          <xm:sqref>U70</xm:sqref>
        </x14:conditionalFormatting>
        <x14:conditionalFormatting xmlns:xm="http://schemas.microsoft.com/office/excel/2006/main">
          <x14:cfRule type="expression" priority="145" id="{59F487A5-8B2D-4BD5-88C6-FFF118AED0A6}">
            <xm:f>$S$8='Assessment Details'!$Q$23</xm:f>
            <x14:dxf>
              <font>
                <color theme="0"/>
              </font>
              <fill>
                <patternFill>
                  <bgColor theme="0"/>
                </patternFill>
              </fill>
              <border>
                <left/>
                <right/>
                <top/>
                <bottom/>
                <vertical/>
                <horizontal/>
              </border>
            </x14:dxf>
          </x14:cfRule>
          <xm:sqref>O105:S105</xm:sqref>
        </x14:conditionalFormatting>
        <x14:conditionalFormatting xmlns:xm="http://schemas.microsoft.com/office/excel/2006/main">
          <x14:cfRule type="expression" priority="144" id="{2320E191-1905-4394-BA53-DCDC25252364}">
            <xm:f>$Z$8='Assessment Details'!$Q$23</xm:f>
            <x14:dxf>
              <font>
                <color theme="0"/>
              </font>
              <fill>
                <patternFill>
                  <bgColor theme="0"/>
                </patternFill>
              </fill>
              <border>
                <left/>
                <right/>
                <top/>
                <bottom/>
              </border>
            </x14:dxf>
          </x14:cfRule>
          <xm:sqref>V105:Z105</xm:sqref>
        </x14:conditionalFormatting>
        <x14:conditionalFormatting xmlns:xm="http://schemas.microsoft.com/office/excel/2006/main">
          <x14:cfRule type="expression" priority="163" id="{FAD9C128-0C7C-438D-A6E0-664F9EFCF777}">
            <xm:f>$S$8='Assessment Details'!$Q$23</xm:f>
            <x14:dxf>
              <font>
                <color theme="0"/>
              </font>
              <fill>
                <patternFill>
                  <bgColor theme="0"/>
                </patternFill>
              </fill>
              <border>
                <vertical/>
                <horizontal/>
              </border>
            </x14:dxf>
          </x14:cfRule>
          <xm:sqref>Q105:R105</xm:sqref>
        </x14:conditionalFormatting>
        <x14:conditionalFormatting xmlns:xm="http://schemas.microsoft.com/office/excel/2006/main">
          <x14:cfRule type="expression" priority="162" id="{0F82769C-0662-4902-9CE8-CBD8E6C78C1F}">
            <xm:f>$S$8='Assessment Details'!$Q$23</xm:f>
            <x14:dxf>
              <border>
                <left style="thin">
                  <color theme="0"/>
                </left>
                <right style="thin">
                  <color theme="0"/>
                </right>
                <top style="thin">
                  <color theme="0"/>
                </top>
                <bottom style="thin">
                  <color theme="0"/>
                </bottom>
                <vertical/>
                <horizontal/>
              </border>
            </x14:dxf>
          </x14:cfRule>
          <xm:sqref>Q105:R105</xm:sqref>
        </x14:conditionalFormatting>
        <x14:conditionalFormatting xmlns:xm="http://schemas.microsoft.com/office/excel/2006/main">
          <x14:cfRule type="expression" priority="161" id="{221EEEEE-A194-4069-968F-DD9AB90A71E1}">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160" id="{E75D99F3-6014-48CB-86CE-FECF76B23D21}">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104" id="{753631EF-28F7-4CED-8C27-9CDB1948039F}">
            <xm:f>$S$8='Assessment Details'!$Q$23</xm:f>
            <x14:dxf>
              <font>
                <color theme="0"/>
              </font>
              <fill>
                <patternFill>
                  <bgColor theme="0"/>
                </patternFill>
              </fill>
              <border>
                <left/>
                <right/>
                <top/>
                <bottom/>
                <vertical/>
                <horizontal/>
              </border>
            </x14:dxf>
          </x14:cfRule>
          <xm:sqref>O149:S149</xm:sqref>
        </x14:conditionalFormatting>
        <x14:conditionalFormatting xmlns:xm="http://schemas.microsoft.com/office/excel/2006/main">
          <x14:cfRule type="expression" priority="103" id="{B8C347FC-5C72-466C-AE24-F7F42136F625}">
            <xm:f>$Z$8='Assessment Details'!$Q$23</xm:f>
            <x14:dxf>
              <font>
                <color theme="0"/>
              </font>
              <fill>
                <patternFill>
                  <bgColor theme="0"/>
                </patternFill>
              </fill>
              <border>
                <left/>
                <right/>
                <top/>
                <bottom/>
              </border>
            </x14:dxf>
          </x14:cfRule>
          <xm:sqref>V149:Z149</xm:sqref>
        </x14:conditionalFormatting>
        <x14:conditionalFormatting xmlns:xm="http://schemas.microsoft.com/office/excel/2006/main">
          <x14:cfRule type="expression" priority="122" id="{8C2205B5-D082-41BE-9828-54B10EEB7ABF}">
            <xm:f>$S$8='Assessment Details'!$Q$23</xm:f>
            <x14:dxf>
              <font>
                <color theme="0"/>
              </font>
              <fill>
                <patternFill>
                  <bgColor theme="0"/>
                </patternFill>
              </fill>
              <border>
                <vertical/>
                <horizontal/>
              </border>
            </x14:dxf>
          </x14:cfRule>
          <xm:sqref>Q149:R149</xm:sqref>
        </x14:conditionalFormatting>
        <x14:conditionalFormatting xmlns:xm="http://schemas.microsoft.com/office/excel/2006/main">
          <x14:cfRule type="expression" priority="121" id="{25FAD901-5A52-44B1-AFEF-0E30576C9BFE}">
            <xm:f>$S$8='Assessment Details'!$Q$23</xm:f>
            <x14:dxf>
              <border>
                <left style="thin">
                  <color theme="0"/>
                </left>
                <right style="thin">
                  <color theme="0"/>
                </right>
                <top style="thin">
                  <color theme="0"/>
                </top>
                <bottom style="thin">
                  <color theme="0"/>
                </bottom>
                <vertical/>
                <horizontal/>
              </border>
            </x14:dxf>
          </x14:cfRule>
          <xm:sqref>Q149:R149</xm:sqref>
        </x14:conditionalFormatting>
        <x14:conditionalFormatting xmlns:xm="http://schemas.microsoft.com/office/excel/2006/main">
          <x14:cfRule type="expression" priority="120" id="{CB7E89B4-EAD9-4F74-9F14-36721AD881AE}">
            <xm:f>$Z$8='Assessment Details'!$Q$23</xm:f>
            <x14:dxf>
              <font>
                <color theme="0"/>
              </font>
              <fill>
                <patternFill>
                  <bgColor theme="0"/>
                </patternFill>
              </fill>
            </x14:dxf>
          </x14:cfRule>
          <xm:sqref>X149:Y149</xm:sqref>
        </x14:conditionalFormatting>
        <x14:conditionalFormatting xmlns:xm="http://schemas.microsoft.com/office/excel/2006/main">
          <x14:cfRule type="expression" priority="119" id="{4264F0D5-D4F3-401D-ADC2-375E1929F74B}">
            <xm:f>$Z$8='Assessment Details'!$Q$23</xm:f>
            <x14:dxf>
              <border>
                <left style="thin">
                  <color theme="0"/>
                </left>
                <right style="thin">
                  <color theme="0"/>
                </right>
                <top style="thin">
                  <color theme="0"/>
                </top>
                <bottom style="thin">
                  <color theme="0"/>
                </bottom>
                <vertical/>
                <horizontal/>
              </border>
            </x14:dxf>
          </x14:cfRule>
          <xm:sqref>X149:Y149</xm:sqref>
        </x14:conditionalFormatting>
        <x14:conditionalFormatting xmlns:xm="http://schemas.microsoft.com/office/excel/2006/main">
          <x14:cfRule type="expression" priority="66" id="{FB513AC0-BF46-4EA1-9764-92B46301C5BF}">
            <xm:f>$S$8='Assessment Details'!$Q$23</xm:f>
            <x14:dxf>
              <font>
                <color theme="0"/>
              </font>
              <fill>
                <patternFill>
                  <bgColor theme="0"/>
                </patternFill>
              </fill>
              <border>
                <left/>
                <right/>
                <top/>
                <bottom/>
                <vertical/>
                <horizontal/>
              </border>
            </x14:dxf>
          </x14:cfRule>
          <xm:sqref>N137:S137</xm:sqref>
        </x14:conditionalFormatting>
        <x14:conditionalFormatting xmlns:xm="http://schemas.microsoft.com/office/excel/2006/main">
          <x14:cfRule type="expression" priority="101" id="{8272D6CF-31FE-45BA-9858-520A52503E9B}">
            <xm:f>$S$8='Assessment Details'!$Q$23</xm:f>
            <x14:dxf>
              <border>
                <left style="thin">
                  <color theme="0"/>
                </left>
                <right style="thin">
                  <color theme="0"/>
                </right>
                <top style="thin">
                  <color theme="0"/>
                </top>
                <bottom style="thin">
                  <color theme="0"/>
                </bottom>
                <vertical/>
                <horizontal/>
              </border>
            </x14:dxf>
          </x14:cfRule>
          <xm:sqref>Q137:R137</xm:sqref>
        </x14:conditionalFormatting>
        <x14:conditionalFormatting xmlns:xm="http://schemas.microsoft.com/office/excel/2006/main">
          <x14:cfRule type="expression" priority="65" id="{CFB16048-1C44-46C6-9915-C0B1B9D9D4D0}">
            <xm:f>$Z$8='Assessment Details'!$Q$23</xm:f>
            <x14:dxf>
              <font>
                <color theme="0"/>
              </font>
              <fill>
                <patternFill>
                  <bgColor theme="0"/>
                </patternFill>
              </fill>
              <border>
                <left/>
                <right/>
                <top/>
                <bottom/>
              </border>
            </x14:dxf>
          </x14:cfRule>
          <xm:sqref>U137:Z137</xm:sqref>
        </x14:conditionalFormatting>
        <x14:conditionalFormatting xmlns:xm="http://schemas.microsoft.com/office/excel/2006/main">
          <x14:cfRule type="expression" priority="90" id="{F4FCB03C-9991-4657-B3A4-C172320EADE2}">
            <xm:f>$Z$8='Assessment Details'!$Q$23</xm:f>
            <x14:dxf>
              <font>
                <color theme="0"/>
              </font>
              <fill>
                <patternFill>
                  <bgColor theme="0"/>
                </patternFill>
              </fill>
            </x14:dxf>
          </x14:cfRule>
          <xm:sqref>X137:Y137</xm:sqref>
        </x14:conditionalFormatting>
        <x14:conditionalFormatting xmlns:xm="http://schemas.microsoft.com/office/excel/2006/main">
          <x14:cfRule type="expression" priority="89" id="{52397341-4709-4971-B9C3-8F664875CBFF}">
            <xm:f>$Z$8='Assessment Details'!$Q$23</xm:f>
            <x14:dxf>
              <border>
                <left style="thin">
                  <color theme="0"/>
                </left>
                <right style="thin">
                  <color theme="0"/>
                </right>
                <top style="thin">
                  <color theme="0"/>
                </top>
                <bottom style="thin">
                  <color theme="0"/>
                </bottom>
                <vertical/>
                <horizontal/>
              </border>
            </x14:dxf>
          </x14:cfRule>
          <xm:sqref>X137:Y137</xm:sqref>
        </x14:conditionalFormatting>
        <x14:conditionalFormatting xmlns:xm="http://schemas.microsoft.com/office/excel/2006/main">
          <x14:cfRule type="expression" priority="76" id="{FA10BCCD-5F13-4B32-AEE2-32308139C0B9}">
            <xm:f>$S$8='Assessment Details'!$Q$23</xm:f>
            <x14:dxf>
              <font>
                <color theme="0"/>
              </font>
              <fill>
                <patternFill>
                  <bgColor theme="0"/>
                </patternFill>
              </fill>
              <border>
                <vertical/>
                <horizontal/>
              </border>
            </x14:dxf>
          </x14:cfRule>
          <xm:sqref>N137</xm:sqref>
        </x14:conditionalFormatting>
        <x14:conditionalFormatting xmlns:xm="http://schemas.microsoft.com/office/excel/2006/main">
          <x14:cfRule type="expression" priority="75" id="{C91DA647-F13F-4C74-BD17-677CB8B5CA84}">
            <xm:f>$S$8='Assessment Details'!$Q$23</xm:f>
            <x14:dxf>
              <border>
                <left style="thin">
                  <color theme="0"/>
                </left>
                <right style="thin">
                  <color theme="0"/>
                </right>
                <top style="thin">
                  <color theme="0"/>
                </top>
                <bottom style="thin">
                  <color theme="0"/>
                </bottom>
                <vertical/>
                <horizontal/>
              </border>
            </x14:dxf>
          </x14:cfRule>
          <xm:sqref>N137</xm:sqref>
        </x14:conditionalFormatting>
        <x14:conditionalFormatting xmlns:xm="http://schemas.microsoft.com/office/excel/2006/main">
          <x14:cfRule type="expression" priority="72" id="{EC8A3289-B5B7-47C5-AAE4-1F74BDB5E375}">
            <xm:f>$Z$8='Assessment Details'!$Q$23</xm:f>
            <x14:dxf>
              <font>
                <color theme="0"/>
              </font>
              <fill>
                <patternFill>
                  <bgColor theme="0"/>
                </patternFill>
              </fill>
            </x14:dxf>
          </x14:cfRule>
          <xm:sqref>U137</xm:sqref>
        </x14:conditionalFormatting>
        <x14:conditionalFormatting xmlns:xm="http://schemas.microsoft.com/office/excel/2006/main">
          <x14:cfRule type="expression" priority="71" id="{121D25EC-91F5-4D3E-890D-70BA55A374BA}">
            <xm:f>$Z$8='Assessment Details'!$Q$23</xm:f>
            <x14:dxf>
              <border>
                <left style="thin">
                  <color theme="0"/>
                </left>
                <right style="thin">
                  <color theme="0"/>
                </right>
                <top style="thin">
                  <color theme="0"/>
                </top>
                <bottom style="thin">
                  <color theme="0"/>
                </bottom>
                <vertical/>
                <horizontal/>
              </border>
            </x14:dxf>
          </x14:cfRule>
          <xm:sqref>U137</xm:sqref>
        </x14:conditionalFormatting>
        <x14:conditionalFormatting xmlns:xm="http://schemas.microsoft.com/office/excel/2006/main">
          <x14:cfRule type="expression" priority="58" id="{AF49019E-2662-4209-88EA-2CF060F61E23}">
            <xm:f>$S$8='Assessment Details'!$Q$23</xm:f>
            <x14:dxf>
              <font>
                <color theme="0"/>
              </font>
              <fill>
                <patternFill>
                  <bgColor theme="0"/>
                </patternFill>
              </fill>
              <border>
                <left/>
                <right/>
                <top/>
                <bottom/>
                <vertical/>
                <horizontal/>
              </border>
            </x14:dxf>
          </x14:cfRule>
          <xm:sqref>N150</xm:sqref>
        </x14:conditionalFormatting>
        <x14:conditionalFormatting xmlns:xm="http://schemas.microsoft.com/office/excel/2006/main">
          <x14:cfRule type="expression" priority="60" id="{BACED2D5-0554-4AB0-BC9E-C9E386C9FD08}">
            <xm:f>$S$8='Assessment Details'!$Q$23</xm:f>
            <x14:dxf>
              <font>
                <color theme="0"/>
              </font>
              <fill>
                <patternFill>
                  <bgColor theme="0"/>
                </patternFill>
              </fill>
              <border>
                <vertical/>
                <horizontal/>
              </border>
            </x14:dxf>
          </x14:cfRule>
          <xm:sqref>N150</xm:sqref>
        </x14:conditionalFormatting>
        <x14:conditionalFormatting xmlns:xm="http://schemas.microsoft.com/office/excel/2006/main">
          <x14:cfRule type="expression" priority="59" id="{88AC38AC-4E35-4555-9AE8-7DED49BEDCA0}">
            <xm:f>$S$8='Assessment Details'!$Q$23</xm:f>
            <x14:dxf>
              <border>
                <left style="thin">
                  <color theme="0"/>
                </left>
                <right style="thin">
                  <color theme="0"/>
                </right>
                <top style="thin">
                  <color theme="0"/>
                </top>
                <bottom style="thin">
                  <color theme="0"/>
                </bottom>
                <vertical/>
                <horizontal/>
              </border>
            </x14:dxf>
          </x14:cfRule>
          <xm:sqref>N150</xm:sqref>
        </x14:conditionalFormatting>
        <x14:conditionalFormatting xmlns:xm="http://schemas.microsoft.com/office/excel/2006/main">
          <x14:cfRule type="expression" priority="53" id="{E875EDE0-8C34-4748-9F9C-B8F331626C49}">
            <xm:f>$Z$8='Assessment Details'!$Q$23</xm:f>
            <x14:dxf>
              <font>
                <color theme="0"/>
              </font>
              <fill>
                <patternFill>
                  <bgColor theme="0"/>
                </patternFill>
              </fill>
              <border>
                <left/>
                <right/>
                <top/>
                <bottom/>
              </border>
            </x14:dxf>
          </x14:cfRule>
          <xm:sqref>U150</xm:sqref>
        </x14:conditionalFormatting>
        <x14:conditionalFormatting xmlns:xm="http://schemas.microsoft.com/office/excel/2006/main">
          <x14:cfRule type="expression" priority="55" id="{42163D35-F50D-4FBE-81D5-7F41EEB3A86F}">
            <xm:f>$Z$8='Assessment Details'!$Q$23</xm:f>
            <x14:dxf>
              <font>
                <color theme="0"/>
              </font>
              <fill>
                <patternFill>
                  <bgColor theme="0"/>
                </patternFill>
              </fill>
            </x14:dxf>
          </x14:cfRule>
          <xm:sqref>U150</xm:sqref>
        </x14:conditionalFormatting>
        <x14:conditionalFormatting xmlns:xm="http://schemas.microsoft.com/office/excel/2006/main">
          <x14:cfRule type="expression" priority="54" id="{15E90BDC-D687-4724-99E1-28B8E4950EE5}">
            <xm:f>$Z$8='Assessment Details'!$Q$23</xm:f>
            <x14:dxf>
              <border>
                <left style="thin">
                  <color theme="0"/>
                </left>
                <right style="thin">
                  <color theme="0"/>
                </right>
                <top style="thin">
                  <color theme="0"/>
                </top>
                <bottom style="thin">
                  <color theme="0"/>
                </bottom>
                <vertical/>
                <horizontal/>
              </border>
            </x14:dxf>
          </x14:cfRule>
          <xm:sqref>U150</xm:sqref>
        </x14:conditionalFormatting>
        <x14:conditionalFormatting xmlns:xm="http://schemas.microsoft.com/office/excel/2006/main">
          <x14:cfRule type="expression" priority="46" id="{A46B1BCF-8CD0-4386-BFAA-1774BEBD0616}">
            <xm:f>$S$8='Assessment Details'!$Q$23</xm:f>
            <x14:dxf>
              <font>
                <color theme="0"/>
              </font>
              <fill>
                <patternFill>
                  <bgColor theme="0"/>
                </patternFill>
              </fill>
              <border>
                <left/>
                <right/>
                <top/>
                <bottom/>
                <vertical/>
                <horizontal/>
              </border>
            </x14:dxf>
          </x14:cfRule>
          <xm:sqref>N149</xm:sqref>
        </x14:conditionalFormatting>
        <x14:conditionalFormatting xmlns:xm="http://schemas.microsoft.com/office/excel/2006/main">
          <x14:cfRule type="expression" priority="48" id="{663A9820-0F9C-4D23-A4D4-B1B4AF4ECE10}">
            <xm:f>$S$8='Assessment Details'!$Q$23</xm:f>
            <x14:dxf>
              <font>
                <color theme="0"/>
              </font>
              <fill>
                <patternFill>
                  <bgColor theme="0"/>
                </patternFill>
              </fill>
              <border>
                <vertical/>
                <horizontal/>
              </border>
            </x14:dxf>
          </x14:cfRule>
          <xm:sqref>N149</xm:sqref>
        </x14:conditionalFormatting>
        <x14:conditionalFormatting xmlns:xm="http://schemas.microsoft.com/office/excel/2006/main">
          <x14:cfRule type="expression" priority="47" id="{CFE9D092-6979-49C0-96B0-AE4EEF087773}">
            <xm:f>$S$8='Assessment Details'!$Q$23</xm:f>
            <x14:dxf>
              <border>
                <left style="thin">
                  <color theme="0"/>
                </left>
                <right style="thin">
                  <color theme="0"/>
                </right>
                <top style="thin">
                  <color theme="0"/>
                </top>
                <bottom style="thin">
                  <color theme="0"/>
                </bottom>
                <vertical/>
                <horizontal/>
              </border>
            </x14:dxf>
          </x14:cfRule>
          <xm:sqref>N149</xm:sqref>
        </x14:conditionalFormatting>
        <x14:conditionalFormatting xmlns:xm="http://schemas.microsoft.com/office/excel/2006/main">
          <x14:cfRule type="expression" priority="41" id="{20FD717F-207B-440A-ADD0-306DBF565F2E}">
            <xm:f>$Z$8='Assessment Details'!$Q$23</xm:f>
            <x14:dxf>
              <font>
                <color theme="0"/>
              </font>
              <fill>
                <patternFill>
                  <bgColor theme="0"/>
                </patternFill>
              </fill>
              <border>
                <left/>
                <right/>
                <top/>
                <bottom/>
              </border>
            </x14:dxf>
          </x14:cfRule>
          <xm:sqref>U149</xm:sqref>
        </x14:conditionalFormatting>
        <x14:conditionalFormatting xmlns:xm="http://schemas.microsoft.com/office/excel/2006/main">
          <x14:cfRule type="expression" priority="43" id="{9F1446FF-EF02-41B9-82C6-D7BAC1237BF2}">
            <xm:f>$Z$8='Assessment Details'!$Q$23</xm:f>
            <x14:dxf>
              <font>
                <color theme="0"/>
              </font>
              <fill>
                <patternFill>
                  <bgColor theme="0"/>
                </patternFill>
              </fill>
            </x14:dxf>
          </x14:cfRule>
          <xm:sqref>U149</xm:sqref>
        </x14:conditionalFormatting>
        <x14:conditionalFormatting xmlns:xm="http://schemas.microsoft.com/office/excel/2006/main">
          <x14:cfRule type="expression" priority="42" id="{03603EAF-29D2-4CE3-97E4-DEF60729EBFE}">
            <xm:f>$Z$8='Assessment Details'!$Q$23</xm:f>
            <x14:dxf>
              <border>
                <left style="thin">
                  <color theme="0"/>
                </left>
                <right style="thin">
                  <color theme="0"/>
                </right>
                <top style="thin">
                  <color theme="0"/>
                </top>
                <bottom style="thin">
                  <color theme="0"/>
                </bottom>
                <vertical/>
                <horizontal/>
              </border>
            </x14:dxf>
          </x14:cfRule>
          <xm:sqref>U149</xm:sqref>
        </x14:conditionalFormatting>
        <x14:conditionalFormatting xmlns:xm="http://schemas.microsoft.com/office/excel/2006/main">
          <x14:cfRule type="expression" priority="34" id="{55F5A51F-75CA-45F9-9165-8F11F4CDBE1C}">
            <xm:f>$S$8='Assessment Details'!$Q$23</xm:f>
            <x14:dxf>
              <font>
                <color theme="0"/>
              </font>
              <fill>
                <patternFill>
                  <bgColor theme="0"/>
                </patternFill>
              </fill>
              <border>
                <left/>
                <right/>
                <top/>
                <bottom/>
                <vertical/>
                <horizontal/>
              </border>
            </x14:dxf>
          </x14:cfRule>
          <xm:sqref>N106</xm:sqref>
        </x14:conditionalFormatting>
        <x14:conditionalFormatting xmlns:xm="http://schemas.microsoft.com/office/excel/2006/main">
          <x14:cfRule type="expression" priority="36" id="{4D01DAE4-212E-4DED-A916-22EBFEB3DFC8}">
            <xm:f>$S$8='Assessment Details'!$Q$23</xm:f>
            <x14:dxf>
              <font>
                <color theme="0"/>
              </font>
              <fill>
                <patternFill>
                  <bgColor theme="0"/>
                </patternFill>
              </fill>
              <border>
                <vertical/>
                <horizontal/>
              </border>
            </x14:dxf>
          </x14:cfRule>
          <xm:sqref>N106</xm:sqref>
        </x14:conditionalFormatting>
        <x14:conditionalFormatting xmlns:xm="http://schemas.microsoft.com/office/excel/2006/main">
          <x14:cfRule type="expression" priority="35" id="{F4314185-D2A0-4278-B824-A5680490493E}">
            <xm:f>$S$8='Assessment Details'!$Q$23</xm:f>
            <x14:dxf>
              <border>
                <left style="thin">
                  <color theme="0"/>
                </left>
                <right style="thin">
                  <color theme="0"/>
                </right>
                <top style="thin">
                  <color theme="0"/>
                </top>
                <bottom style="thin">
                  <color theme="0"/>
                </bottom>
                <vertical/>
                <horizontal/>
              </border>
            </x14:dxf>
          </x14:cfRule>
          <xm:sqref>N106</xm:sqref>
        </x14:conditionalFormatting>
        <x14:conditionalFormatting xmlns:xm="http://schemas.microsoft.com/office/excel/2006/main">
          <x14:cfRule type="expression" priority="29" id="{9A7DA104-7852-41A0-B413-5ADC0E4143AF}">
            <xm:f>$Z$8='Assessment Details'!$Q$23</xm:f>
            <x14:dxf>
              <font>
                <color theme="0"/>
              </font>
              <fill>
                <patternFill>
                  <bgColor theme="0"/>
                </patternFill>
              </fill>
              <border>
                <left/>
                <right/>
                <top/>
                <bottom/>
              </border>
            </x14:dxf>
          </x14:cfRule>
          <xm:sqref>U106</xm:sqref>
        </x14:conditionalFormatting>
        <x14:conditionalFormatting xmlns:xm="http://schemas.microsoft.com/office/excel/2006/main">
          <x14:cfRule type="expression" priority="31" id="{F7596359-9DFB-41E7-9DA6-1C852E1418CC}">
            <xm:f>$Z$8='Assessment Details'!$Q$23</xm:f>
            <x14:dxf>
              <font>
                <color theme="0"/>
              </font>
              <fill>
                <patternFill>
                  <bgColor theme="0"/>
                </patternFill>
              </fill>
            </x14:dxf>
          </x14:cfRule>
          <xm:sqref>U106</xm:sqref>
        </x14:conditionalFormatting>
        <x14:conditionalFormatting xmlns:xm="http://schemas.microsoft.com/office/excel/2006/main">
          <x14:cfRule type="expression" priority="30" id="{A9DFE456-60D4-4BE9-B0ED-DA081A0271D1}">
            <xm:f>$Z$8='Assessment Details'!$Q$23</xm:f>
            <x14:dxf>
              <border>
                <left style="thin">
                  <color theme="0"/>
                </left>
                <right style="thin">
                  <color theme="0"/>
                </right>
                <top style="thin">
                  <color theme="0"/>
                </top>
                <bottom style="thin">
                  <color theme="0"/>
                </bottom>
                <vertical/>
                <horizontal/>
              </border>
            </x14:dxf>
          </x14:cfRule>
          <xm:sqref>U106</xm:sqref>
        </x14:conditionalFormatting>
        <x14:conditionalFormatting xmlns:xm="http://schemas.microsoft.com/office/excel/2006/main">
          <x14:cfRule type="expression" priority="24" id="{17C4D998-A4A6-4445-8DF3-2384226DAAA7}">
            <xm:f>$S$8='Assessment Details'!$Q$23</xm:f>
            <x14:dxf>
              <font>
                <color theme="0"/>
              </font>
              <fill>
                <patternFill>
                  <bgColor theme="0"/>
                </patternFill>
              </fill>
              <border>
                <left/>
                <right/>
                <top/>
                <bottom/>
                <vertical/>
                <horizontal/>
              </border>
            </x14:dxf>
          </x14:cfRule>
          <xm:sqref>N105</xm:sqref>
        </x14:conditionalFormatting>
        <x14:conditionalFormatting xmlns:xm="http://schemas.microsoft.com/office/excel/2006/main">
          <x14:cfRule type="expression" priority="26" id="{D72D6DDA-FFAC-4B57-841F-7DDC82B1A981}">
            <xm:f>$S$8='Assessment Details'!$Q$23</xm:f>
            <x14:dxf>
              <font>
                <color theme="0"/>
              </font>
              <fill>
                <patternFill>
                  <bgColor theme="0"/>
                </patternFill>
              </fill>
              <border>
                <vertical/>
                <horizontal/>
              </border>
            </x14:dxf>
          </x14:cfRule>
          <xm:sqref>N105</xm:sqref>
        </x14:conditionalFormatting>
        <x14:conditionalFormatting xmlns:xm="http://schemas.microsoft.com/office/excel/2006/main">
          <x14:cfRule type="expression" priority="25" id="{7ED2FCC3-E8E9-45FD-A850-83F42A77D77E}">
            <xm:f>$S$8='Assessment Details'!$Q$23</xm:f>
            <x14:dxf>
              <border>
                <left style="thin">
                  <color theme="0"/>
                </left>
                <right style="thin">
                  <color theme="0"/>
                </right>
                <top style="thin">
                  <color theme="0"/>
                </top>
                <bottom style="thin">
                  <color theme="0"/>
                </bottom>
                <vertical/>
                <horizontal/>
              </border>
            </x14:dxf>
          </x14:cfRule>
          <xm:sqref>N105</xm:sqref>
        </x14:conditionalFormatting>
        <x14:conditionalFormatting xmlns:xm="http://schemas.microsoft.com/office/excel/2006/main">
          <x14:cfRule type="expression" priority="19" id="{30DBE182-A183-4E95-8D5A-A9F398975206}">
            <xm:f>$Z$8='Assessment Details'!$Q$23</xm:f>
            <x14:dxf>
              <font>
                <color theme="0"/>
              </font>
              <fill>
                <patternFill>
                  <bgColor theme="0"/>
                </patternFill>
              </fill>
              <border>
                <left/>
                <right/>
                <top/>
                <bottom/>
              </border>
            </x14:dxf>
          </x14:cfRule>
          <xm:sqref>U105</xm:sqref>
        </x14:conditionalFormatting>
        <x14:conditionalFormatting xmlns:xm="http://schemas.microsoft.com/office/excel/2006/main">
          <x14:cfRule type="expression" priority="21" id="{547E3762-46C6-4BA6-BFF0-8EE8D88B0A50}">
            <xm:f>$Z$8='Assessment Details'!$Q$23</xm:f>
            <x14:dxf>
              <font>
                <color theme="0"/>
              </font>
              <fill>
                <patternFill>
                  <bgColor theme="0"/>
                </patternFill>
              </fill>
            </x14:dxf>
          </x14:cfRule>
          <xm:sqref>U105</xm:sqref>
        </x14:conditionalFormatting>
        <x14:conditionalFormatting xmlns:xm="http://schemas.microsoft.com/office/excel/2006/main">
          <x14:cfRule type="expression" priority="20" id="{603D39AB-06BB-41A3-BB2F-ABC5ADEE2C7A}">
            <xm:f>$Z$8='Assessment Details'!$Q$23</xm:f>
            <x14:dxf>
              <border>
                <left style="thin">
                  <color theme="0"/>
                </left>
                <right style="thin">
                  <color theme="0"/>
                </right>
                <top style="thin">
                  <color theme="0"/>
                </top>
                <bottom style="thin">
                  <color theme="0"/>
                </bottom>
                <vertical/>
                <horizontal/>
              </border>
            </x14:dxf>
          </x14:cfRule>
          <xm:sqref>U105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DD9B8DC-50C3-42AA-B785-0ACAAF7B8138}">
          <x14:formula1>
            <xm:f>'Assessment Details'!$R$51:$R$53</xm:f>
          </x14:formula1>
          <xm:sqref>G236 U236:W236 N236:P236</xm:sqref>
        </x14:dataValidation>
        <x14:dataValidation type="list" allowBlank="1" showInputMessage="1" showErrorMessage="1" xr:uid="{7DE43009-7353-4701-B7CF-95630AC842DF}">
          <x14:formula1>
            <xm:f>'Assessment Details'!$S$51:$S$54</xm:f>
          </x14:formula1>
          <xm:sqref>G246 U246:W246 N246:P246</xm:sqref>
        </x14:dataValidation>
        <x14:dataValidation type="list" allowBlank="1" showInputMessage="1" showErrorMessage="1" xr:uid="{5D177215-4930-400E-A3FB-EDCFC4BEE1FF}">
          <x14:formula1>
            <xm:f>'Assessment Details'!$Y$51:$Y$54</xm:f>
          </x14:formula1>
          <xm:sqref>G259 U259:W259 N259:P259</xm:sqref>
        </x14:dataValidation>
        <x14:dataValidation type="list" allowBlank="1" showInputMessage="1" showErrorMessage="1" xr:uid="{1E93DD87-5A0C-4126-B9A3-5DAD71ABAFE9}">
          <x14:formula1>
            <xm:f>'Assessment Details'!$V$51:$V$53</xm:f>
          </x14:formula1>
          <xm:sqref>G254 U254:W254 N254:P254</xm:sqref>
        </x14:dataValidation>
        <x14:dataValidation type="list" allowBlank="1" showInputMessage="1" showErrorMessage="1" xr:uid="{132D4D07-9028-4ECD-B9C8-6A71A2814CDB}">
          <x14:formula1>
            <xm:f>'Assessment Details'!$T$51:$T$53</xm:f>
          </x14:formula1>
          <xm:sqref>G247 U247:W247 N247:P247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x14ac:dyDescent="0.25"/>
  <cols>
    <col min="2" max="2" width="15.140625" bestFit="1" customWidth="1"/>
    <col min="3" max="3" width="71.85546875" bestFit="1" customWidth="1"/>
    <col min="5" max="5" width="22.42578125" bestFit="1" customWidth="1"/>
  </cols>
  <sheetData>
    <row r="3" spans="2:6" x14ac:dyDescent="0.25">
      <c r="B3" s="1329" t="s">
        <v>342</v>
      </c>
      <c r="C3" s="1329" t="s">
        <v>343</v>
      </c>
      <c r="D3" s="1331" t="s">
        <v>831</v>
      </c>
      <c r="E3" s="1329" t="s">
        <v>832</v>
      </c>
      <c r="F3" s="1330" t="s">
        <v>345</v>
      </c>
    </row>
    <row r="4" spans="2:6" x14ac:dyDescent="0.25">
      <c r="B4" s="1329"/>
      <c r="C4" s="1329"/>
      <c r="D4" s="1331"/>
      <c r="E4" s="1329"/>
      <c r="F4" s="1330"/>
    </row>
    <row r="5" spans="2:6" x14ac:dyDescent="0.25">
      <c r="B5" s="1329"/>
      <c r="C5" s="1329"/>
      <c r="D5" s="1331"/>
      <c r="E5" s="1329"/>
      <c r="F5" s="1330"/>
    </row>
    <row r="6" spans="2:6" x14ac:dyDescent="0.25">
      <c r="B6" s="882" t="s">
        <v>346</v>
      </c>
      <c r="C6" s="882"/>
      <c r="D6" s="891"/>
      <c r="E6" s="882"/>
      <c r="F6" s="883"/>
    </row>
    <row r="7" spans="2:6" x14ac:dyDescent="0.25">
      <c r="B7" s="1332" t="s">
        <v>92</v>
      </c>
      <c r="C7" s="1314" t="s">
        <v>833</v>
      </c>
      <c r="D7" s="1315"/>
      <c r="E7" s="1315"/>
      <c r="F7" s="1316"/>
    </row>
    <row r="8" spans="2:6" x14ac:dyDescent="0.25">
      <c r="B8" s="1333"/>
      <c r="C8" s="887" t="s">
        <v>586</v>
      </c>
      <c r="D8" s="892">
        <v>1</v>
      </c>
      <c r="E8" s="902">
        <v>1</v>
      </c>
      <c r="F8" s="903" t="s">
        <v>347</v>
      </c>
    </row>
    <row r="9" spans="2:6" x14ac:dyDescent="0.25">
      <c r="B9" s="1333"/>
      <c r="C9" s="887" t="s">
        <v>587</v>
      </c>
      <c r="D9" s="892">
        <v>1</v>
      </c>
      <c r="E9" s="902">
        <v>1</v>
      </c>
      <c r="F9" s="903" t="s">
        <v>347</v>
      </c>
    </row>
    <row r="10" spans="2:6" x14ac:dyDescent="0.25">
      <c r="B10" s="1333"/>
      <c r="C10" s="887" t="s">
        <v>588</v>
      </c>
      <c r="D10" s="892">
        <v>2</v>
      </c>
      <c r="E10" s="902">
        <v>2</v>
      </c>
      <c r="F10" s="903" t="s">
        <v>347</v>
      </c>
    </row>
    <row r="11" spans="2:6" x14ac:dyDescent="0.25">
      <c r="B11" s="1334"/>
      <c r="C11" s="887" t="s">
        <v>589</v>
      </c>
      <c r="D11" s="892">
        <v>1</v>
      </c>
      <c r="E11" s="902">
        <v>1</v>
      </c>
      <c r="F11" s="903" t="s">
        <v>347</v>
      </c>
    </row>
    <row r="12" spans="2:6" x14ac:dyDescent="0.25">
      <c r="B12" s="1332" t="s">
        <v>93</v>
      </c>
      <c r="C12" s="1314" t="s">
        <v>834</v>
      </c>
      <c r="D12" s="1315"/>
      <c r="E12" s="1315"/>
      <c r="F12" s="1316"/>
    </row>
    <row r="13" spans="2:6" x14ac:dyDescent="0.25">
      <c r="B13" s="1333"/>
      <c r="C13" s="887" t="s">
        <v>591</v>
      </c>
      <c r="D13" s="892">
        <v>2</v>
      </c>
      <c r="E13" s="904">
        <v>2</v>
      </c>
      <c r="F13" s="903" t="s">
        <v>347</v>
      </c>
    </row>
    <row r="14" spans="2:6" x14ac:dyDescent="0.25">
      <c r="B14" s="1334"/>
      <c r="C14" s="887" t="s">
        <v>592</v>
      </c>
      <c r="D14" s="892">
        <v>1</v>
      </c>
      <c r="E14" s="904">
        <v>1</v>
      </c>
      <c r="F14" s="903" t="s">
        <v>347</v>
      </c>
    </row>
    <row r="15" spans="2:6" x14ac:dyDescent="0.25">
      <c r="B15" s="1332" t="s">
        <v>94</v>
      </c>
      <c r="C15" s="1314" t="s">
        <v>348</v>
      </c>
      <c r="D15" s="1315"/>
      <c r="E15" s="1315"/>
      <c r="F15" s="1316"/>
    </row>
    <row r="16" spans="2:6" x14ac:dyDescent="0.25">
      <c r="B16" s="1333"/>
      <c r="C16" s="887" t="s">
        <v>593</v>
      </c>
      <c r="D16" s="892">
        <v>1</v>
      </c>
      <c r="E16" s="902">
        <v>1</v>
      </c>
      <c r="F16" s="903" t="s">
        <v>347</v>
      </c>
    </row>
    <row r="17" spans="2:6" x14ac:dyDescent="0.25">
      <c r="B17" s="1333"/>
      <c r="C17" s="887" t="s">
        <v>594</v>
      </c>
      <c r="D17" s="892">
        <v>1</v>
      </c>
      <c r="E17" s="902">
        <v>1</v>
      </c>
      <c r="F17" s="903" t="s">
        <v>347</v>
      </c>
    </row>
    <row r="18" spans="2:6" x14ac:dyDescent="0.25">
      <c r="B18" s="1333"/>
      <c r="C18" s="887" t="s">
        <v>595</v>
      </c>
      <c r="D18" s="892">
        <v>2</v>
      </c>
      <c r="E18" s="902">
        <v>2</v>
      </c>
      <c r="F18" s="903" t="s">
        <v>347</v>
      </c>
    </row>
    <row r="19" spans="2:6" x14ac:dyDescent="0.25">
      <c r="B19" s="1334"/>
      <c r="C19" s="887" t="s">
        <v>596</v>
      </c>
      <c r="D19" s="892">
        <v>1</v>
      </c>
      <c r="E19" s="902">
        <v>1</v>
      </c>
      <c r="F19" s="903" t="s">
        <v>347</v>
      </c>
    </row>
    <row r="20" spans="2:6" x14ac:dyDescent="0.25">
      <c r="B20" s="1332" t="s">
        <v>95</v>
      </c>
      <c r="C20" s="1314" t="s">
        <v>349</v>
      </c>
      <c r="D20" s="1315"/>
      <c r="E20" s="1315"/>
      <c r="F20" s="1316"/>
    </row>
    <row r="21" spans="2:6" x14ac:dyDescent="0.25">
      <c r="B21" s="1333"/>
      <c r="C21" s="887" t="s">
        <v>597</v>
      </c>
      <c r="D21" s="892">
        <v>1</v>
      </c>
      <c r="E21" s="902">
        <v>1</v>
      </c>
      <c r="F21" s="903" t="s">
        <v>347</v>
      </c>
    </row>
    <row r="22" spans="2:6" x14ac:dyDescent="0.25">
      <c r="B22" s="1333"/>
      <c r="C22" s="887" t="s">
        <v>598</v>
      </c>
      <c r="D22" s="892">
        <v>1</v>
      </c>
      <c r="E22" s="902">
        <v>1</v>
      </c>
      <c r="F22" s="903" t="s">
        <v>347</v>
      </c>
    </row>
    <row r="23" spans="2:6" x14ac:dyDescent="0.25">
      <c r="B23" s="1334"/>
      <c r="C23" s="887" t="s">
        <v>599</v>
      </c>
      <c r="D23" s="892">
        <v>1</v>
      </c>
      <c r="E23" s="902">
        <v>1</v>
      </c>
      <c r="F23" s="903" t="s">
        <v>347</v>
      </c>
    </row>
    <row r="24" spans="2:6" x14ac:dyDescent="0.25">
      <c r="B24" s="1335" t="s">
        <v>96</v>
      </c>
      <c r="C24" s="1315" t="s">
        <v>350</v>
      </c>
      <c r="D24" s="1315"/>
      <c r="E24" s="1315"/>
      <c r="F24" s="1316"/>
    </row>
    <row r="25" spans="2:6" x14ac:dyDescent="0.25">
      <c r="B25" s="1336"/>
      <c r="C25" s="887" t="s">
        <v>600</v>
      </c>
      <c r="D25" s="892">
        <v>1</v>
      </c>
      <c r="E25" s="902">
        <v>1</v>
      </c>
      <c r="F25" s="903" t="s">
        <v>347</v>
      </c>
    </row>
    <row r="26" spans="2:6" x14ac:dyDescent="0.25">
      <c r="B26" s="1336"/>
      <c r="C26" s="887" t="s">
        <v>601</v>
      </c>
      <c r="D26" s="892">
        <v>1</v>
      </c>
      <c r="E26" s="902">
        <v>1</v>
      </c>
      <c r="F26" s="903" t="s">
        <v>347</v>
      </c>
    </row>
    <row r="27" spans="2:6" x14ac:dyDescent="0.25">
      <c r="B27" s="1336"/>
      <c r="C27" s="887" t="s">
        <v>602</v>
      </c>
      <c r="D27" s="892">
        <v>1</v>
      </c>
      <c r="E27" s="902">
        <v>1</v>
      </c>
      <c r="F27" s="903" t="s">
        <v>347</v>
      </c>
    </row>
    <row r="28" spans="2:6" x14ac:dyDescent="0.25">
      <c r="B28" s="885" t="s">
        <v>351</v>
      </c>
      <c r="C28" s="884"/>
      <c r="D28" s="893"/>
      <c r="E28" s="885"/>
      <c r="F28" s="905"/>
    </row>
    <row r="29" spans="2:6" x14ac:dyDescent="0.25">
      <c r="B29" s="1326" t="s">
        <v>117</v>
      </c>
      <c r="C29" s="1320" t="s">
        <v>835</v>
      </c>
      <c r="D29" s="1321"/>
      <c r="E29" s="1321"/>
      <c r="F29" s="1322"/>
    </row>
    <row r="30" spans="2:6" x14ac:dyDescent="0.25">
      <c r="B30" s="1327"/>
      <c r="C30" s="889" t="s">
        <v>603</v>
      </c>
      <c r="D30" s="892">
        <v>3</v>
      </c>
      <c r="E30" s="906">
        <v>3</v>
      </c>
      <c r="F30" s="907" t="s">
        <v>347</v>
      </c>
    </row>
    <row r="31" spans="2:6" x14ac:dyDescent="0.25">
      <c r="B31" s="1327"/>
      <c r="C31" s="889" t="s">
        <v>604</v>
      </c>
      <c r="D31" s="892">
        <v>1</v>
      </c>
      <c r="E31" s="908">
        <v>1</v>
      </c>
      <c r="F31" s="909" t="s">
        <v>347</v>
      </c>
    </row>
    <row r="32" spans="2:6" x14ac:dyDescent="0.25">
      <c r="B32" s="1327"/>
      <c r="C32" s="889" t="s">
        <v>605</v>
      </c>
      <c r="D32" s="892">
        <v>1</v>
      </c>
      <c r="E32" s="908">
        <v>1</v>
      </c>
      <c r="F32" s="909" t="s">
        <v>347</v>
      </c>
    </row>
    <row r="33" spans="2:6" x14ac:dyDescent="0.25">
      <c r="B33" s="1327"/>
      <c r="C33" s="889" t="s">
        <v>606</v>
      </c>
      <c r="D33" s="892" t="s">
        <v>235</v>
      </c>
      <c r="E33" s="908" t="s">
        <v>235</v>
      </c>
      <c r="F33" s="909" t="s">
        <v>352</v>
      </c>
    </row>
    <row r="34" spans="2:6" x14ac:dyDescent="0.25">
      <c r="B34" s="1328"/>
      <c r="C34" s="889" t="s">
        <v>607</v>
      </c>
      <c r="D34" s="892">
        <v>1</v>
      </c>
      <c r="E34" s="902">
        <v>1</v>
      </c>
      <c r="F34" s="907" t="s">
        <v>352</v>
      </c>
    </row>
    <row r="35" spans="2:6" x14ac:dyDescent="0.25">
      <c r="B35" s="1326" t="s">
        <v>118</v>
      </c>
      <c r="C35" s="1320" t="s">
        <v>836</v>
      </c>
      <c r="D35" s="1321"/>
      <c r="E35" s="1321"/>
      <c r="F35" s="1322"/>
    </row>
    <row r="36" spans="2:6" x14ac:dyDescent="0.25">
      <c r="B36" s="1327"/>
      <c r="C36" s="889" t="s">
        <v>609</v>
      </c>
      <c r="D36" s="892">
        <v>1</v>
      </c>
      <c r="E36" s="902">
        <v>1</v>
      </c>
      <c r="F36" s="907"/>
    </row>
    <row r="37" spans="2:6" x14ac:dyDescent="0.25">
      <c r="B37" s="1327"/>
      <c r="C37" s="888" t="s">
        <v>610</v>
      </c>
      <c r="D37" s="892">
        <v>2</v>
      </c>
      <c r="E37" s="902">
        <v>2</v>
      </c>
      <c r="F37" s="907" t="s">
        <v>347</v>
      </c>
    </row>
    <row r="38" spans="2:6" x14ac:dyDescent="0.25">
      <c r="B38" s="1328"/>
      <c r="C38" s="888" t="s">
        <v>611</v>
      </c>
      <c r="D38" s="892">
        <v>1</v>
      </c>
      <c r="E38" s="910">
        <v>1</v>
      </c>
      <c r="F38" s="907" t="s">
        <v>347</v>
      </c>
    </row>
    <row r="39" spans="2:6" x14ac:dyDescent="0.25">
      <c r="B39" s="1326" t="s">
        <v>119</v>
      </c>
      <c r="C39" s="1320" t="s">
        <v>837</v>
      </c>
      <c r="D39" s="1321"/>
      <c r="E39" s="1321"/>
      <c r="F39" s="1322"/>
    </row>
    <row r="40" spans="2:6" x14ac:dyDescent="0.25">
      <c r="B40" s="1327"/>
      <c r="C40" s="889" t="s">
        <v>612</v>
      </c>
      <c r="D40" s="892">
        <v>1</v>
      </c>
      <c r="E40" s="902">
        <v>1</v>
      </c>
      <c r="F40" s="907" t="s">
        <v>347</v>
      </c>
    </row>
    <row r="41" spans="2:6" x14ac:dyDescent="0.25">
      <c r="B41" s="1327"/>
      <c r="C41" s="888" t="s">
        <v>613</v>
      </c>
      <c r="D41" s="892">
        <v>1</v>
      </c>
      <c r="E41" s="902">
        <v>1</v>
      </c>
      <c r="F41" s="907" t="s">
        <v>347</v>
      </c>
    </row>
    <row r="42" spans="2:6" x14ac:dyDescent="0.25">
      <c r="B42" s="1328"/>
      <c r="C42" s="888" t="s">
        <v>838</v>
      </c>
      <c r="D42" s="892">
        <v>1</v>
      </c>
      <c r="E42" s="902">
        <v>1</v>
      </c>
      <c r="F42" s="907" t="s">
        <v>347</v>
      </c>
    </row>
    <row r="43" spans="2:6" x14ac:dyDescent="0.25">
      <c r="B43" s="890" t="s">
        <v>121</v>
      </c>
      <c r="C43" s="895" t="s">
        <v>616</v>
      </c>
      <c r="D43" s="892">
        <v>3</v>
      </c>
      <c r="E43" s="906">
        <v>3</v>
      </c>
      <c r="F43" s="907" t="s">
        <v>347</v>
      </c>
    </row>
    <row r="44" spans="2:6" x14ac:dyDescent="0.25">
      <c r="B44" s="1317" t="s">
        <v>122</v>
      </c>
      <c r="C44" s="1320" t="s">
        <v>839</v>
      </c>
      <c r="D44" s="1321"/>
      <c r="E44" s="1321"/>
      <c r="F44" s="1322"/>
    </row>
    <row r="45" spans="2:6" x14ac:dyDescent="0.25">
      <c r="B45" s="1318"/>
      <c r="C45" s="889" t="s">
        <v>840</v>
      </c>
      <c r="D45" s="892">
        <v>1</v>
      </c>
      <c r="E45" s="906">
        <v>1</v>
      </c>
      <c r="F45" s="911" t="s">
        <v>347</v>
      </c>
    </row>
    <row r="46" spans="2:6" x14ac:dyDescent="0.25">
      <c r="B46" s="1319"/>
      <c r="C46" s="888" t="s">
        <v>841</v>
      </c>
      <c r="D46" s="892">
        <v>1</v>
      </c>
      <c r="E46" s="906">
        <v>1</v>
      </c>
      <c r="F46" s="911" t="s">
        <v>347</v>
      </c>
    </row>
    <row r="47" spans="2:6" x14ac:dyDescent="0.25">
      <c r="B47" s="890" t="s">
        <v>124</v>
      </c>
      <c r="C47" s="895" t="s">
        <v>353</v>
      </c>
      <c r="D47" s="892" t="s">
        <v>235</v>
      </c>
      <c r="E47" s="902" t="s">
        <v>235</v>
      </c>
      <c r="F47" s="907" t="s">
        <v>352</v>
      </c>
    </row>
    <row r="48" spans="2:6" x14ac:dyDescent="0.25">
      <c r="B48" s="886"/>
      <c r="C48" s="884"/>
      <c r="D48" s="893"/>
      <c r="E48" s="885"/>
      <c r="F48" s="905"/>
    </row>
    <row r="49" spans="2:6" x14ac:dyDescent="0.25">
      <c r="B49" s="885" t="s">
        <v>354</v>
      </c>
      <c r="C49" s="884"/>
      <c r="D49" s="893"/>
      <c r="E49" s="885"/>
      <c r="F49" s="905"/>
    </row>
    <row r="50" spans="2:6" x14ac:dyDescent="0.25">
      <c r="B50" s="1317" t="s">
        <v>135</v>
      </c>
      <c r="C50" s="1320" t="s">
        <v>842</v>
      </c>
      <c r="D50" s="1321"/>
      <c r="E50" s="1321"/>
      <c r="F50" s="1322"/>
    </row>
    <row r="51" spans="2:6" x14ac:dyDescent="0.25">
      <c r="B51" s="1318"/>
      <c r="C51" s="889" t="s">
        <v>620</v>
      </c>
      <c r="D51" s="892">
        <v>2</v>
      </c>
      <c r="E51" s="902">
        <v>2</v>
      </c>
      <c r="F51" s="903" t="s">
        <v>347</v>
      </c>
    </row>
    <row r="52" spans="2:6" x14ac:dyDescent="0.25">
      <c r="B52" s="1318"/>
      <c r="C52" s="888" t="s">
        <v>621</v>
      </c>
      <c r="D52" s="892">
        <v>1</v>
      </c>
      <c r="E52" s="902">
        <v>1</v>
      </c>
      <c r="F52" s="903" t="s">
        <v>347</v>
      </c>
    </row>
    <row r="53" spans="2:6" x14ac:dyDescent="0.25">
      <c r="B53" s="1318"/>
      <c r="C53" s="888" t="s">
        <v>622</v>
      </c>
      <c r="D53" s="892">
        <v>4</v>
      </c>
      <c r="E53" s="902">
        <v>4</v>
      </c>
      <c r="F53" s="903" t="s">
        <v>347</v>
      </c>
    </row>
    <row r="54" spans="2:6" x14ac:dyDescent="0.25">
      <c r="B54" s="1318"/>
      <c r="C54" s="888" t="s">
        <v>623</v>
      </c>
      <c r="D54" s="892">
        <v>1</v>
      </c>
      <c r="E54" s="902">
        <v>1</v>
      </c>
      <c r="F54" s="903" t="s">
        <v>347</v>
      </c>
    </row>
    <row r="55" spans="2:6" x14ac:dyDescent="0.25">
      <c r="B55" s="1319"/>
      <c r="C55" s="888" t="s">
        <v>624</v>
      </c>
      <c r="D55" s="892">
        <v>4</v>
      </c>
      <c r="E55" s="902">
        <v>4</v>
      </c>
      <c r="F55" s="903" t="s">
        <v>347</v>
      </c>
    </row>
    <row r="56" spans="2:6" x14ac:dyDescent="0.25">
      <c r="B56" s="1317" t="s">
        <v>136</v>
      </c>
      <c r="C56" s="1323" t="s">
        <v>843</v>
      </c>
      <c r="D56" s="1324"/>
      <c r="E56" s="1324"/>
      <c r="F56" s="1325"/>
    </row>
    <row r="57" spans="2:6" x14ac:dyDescent="0.25">
      <c r="B57" s="1318"/>
      <c r="C57" s="888" t="s">
        <v>625</v>
      </c>
      <c r="D57" s="892">
        <v>1</v>
      </c>
      <c r="E57" s="902">
        <v>1</v>
      </c>
      <c r="F57" s="912" t="s">
        <v>347</v>
      </c>
    </row>
    <row r="58" spans="2:6" x14ac:dyDescent="0.25">
      <c r="B58" s="1318"/>
      <c r="C58" s="888" t="s">
        <v>626</v>
      </c>
      <c r="D58" s="892">
        <v>1</v>
      </c>
      <c r="E58" s="902">
        <v>1</v>
      </c>
      <c r="F58" s="912" t="s">
        <v>347</v>
      </c>
    </row>
    <row r="59" spans="2:6" x14ac:dyDescent="0.25">
      <c r="B59" s="1319"/>
      <c r="C59" s="888" t="s">
        <v>627</v>
      </c>
      <c r="D59" s="892" t="s">
        <v>235</v>
      </c>
      <c r="E59" s="902" t="s">
        <v>235</v>
      </c>
      <c r="F59" s="912" t="s">
        <v>352</v>
      </c>
    </row>
    <row r="60" spans="2:6" x14ac:dyDescent="0.25">
      <c r="B60" s="890" t="s">
        <v>137</v>
      </c>
      <c r="C60" s="901" t="s">
        <v>356</v>
      </c>
      <c r="D60" s="892">
        <v>1</v>
      </c>
      <c r="E60" s="902">
        <v>1</v>
      </c>
      <c r="F60" s="912" t="s">
        <v>347</v>
      </c>
    </row>
    <row r="61" spans="2:6" x14ac:dyDescent="0.25">
      <c r="B61" s="1317" t="s">
        <v>139</v>
      </c>
      <c r="C61" s="1314" t="s">
        <v>357</v>
      </c>
      <c r="D61" s="1315"/>
      <c r="E61" s="1315"/>
      <c r="F61" s="1316"/>
    </row>
    <row r="62" spans="2:6" x14ac:dyDescent="0.25">
      <c r="B62" s="1318"/>
      <c r="C62" s="888" t="s">
        <v>630</v>
      </c>
      <c r="D62" s="892">
        <v>1</v>
      </c>
      <c r="E62" s="908" t="s">
        <v>235</v>
      </c>
      <c r="F62" s="913" t="s">
        <v>352</v>
      </c>
    </row>
    <row r="63" spans="2:6" x14ac:dyDescent="0.25">
      <c r="B63" s="1319"/>
      <c r="C63" s="888" t="s">
        <v>631</v>
      </c>
      <c r="D63" s="892">
        <v>1</v>
      </c>
      <c r="E63" s="908" t="s">
        <v>235</v>
      </c>
      <c r="F63" s="913" t="s">
        <v>352</v>
      </c>
    </row>
    <row r="64" spans="2:6" x14ac:dyDescent="0.25">
      <c r="B64" s="1317" t="s">
        <v>140</v>
      </c>
      <c r="C64" s="1314" t="s">
        <v>358</v>
      </c>
      <c r="D64" s="1315"/>
      <c r="E64" s="1315"/>
      <c r="F64" s="1316"/>
    </row>
    <row r="65" spans="2:6" x14ac:dyDescent="0.25">
      <c r="B65" s="1318"/>
      <c r="C65" s="888" t="s">
        <v>632</v>
      </c>
      <c r="D65" s="892">
        <v>1</v>
      </c>
      <c r="E65" s="902">
        <v>1</v>
      </c>
      <c r="F65" s="903" t="s">
        <v>347</v>
      </c>
    </row>
    <row r="66" spans="2:6" x14ac:dyDescent="0.25">
      <c r="B66" s="1319"/>
      <c r="C66" s="888" t="s">
        <v>633</v>
      </c>
      <c r="D66" s="892">
        <v>1</v>
      </c>
      <c r="E66" s="902">
        <v>1</v>
      </c>
      <c r="F66" s="903" t="s">
        <v>347</v>
      </c>
    </row>
    <row r="67" spans="2:6" x14ac:dyDescent="0.25">
      <c r="B67" s="1317" t="s">
        <v>141</v>
      </c>
      <c r="C67" s="1314" t="s">
        <v>359</v>
      </c>
      <c r="D67" s="1315"/>
      <c r="E67" s="1315"/>
      <c r="F67" s="1316"/>
    </row>
    <row r="68" spans="2:6" x14ac:dyDescent="0.25">
      <c r="B68" s="1318"/>
      <c r="C68" s="888" t="s">
        <v>634</v>
      </c>
      <c r="D68" s="892">
        <v>1</v>
      </c>
      <c r="E68" s="902" t="s">
        <v>235</v>
      </c>
      <c r="F68" s="903" t="s">
        <v>352</v>
      </c>
    </row>
    <row r="69" spans="2:6" x14ac:dyDescent="0.25">
      <c r="B69" s="1319"/>
      <c r="C69" s="888" t="s">
        <v>635</v>
      </c>
      <c r="D69" s="892">
        <v>4</v>
      </c>
      <c r="E69" s="902" t="s">
        <v>235</v>
      </c>
      <c r="F69" s="903" t="s">
        <v>352</v>
      </c>
    </row>
    <row r="70" spans="2:6" x14ac:dyDescent="0.25">
      <c r="B70" s="890" t="s">
        <v>142</v>
      </c>
      <c r="C70" s="895" t="s">
        <v>360</v>
      </c>
      <c r="D70" s="892">
        <v>2</v>
      </c>
      <c r="E70" s="902">
        <v>2</v>
      </c>
      <c r="F70" s="903" t="s">
        <v>347</v>
      </c>
    </row>
    <row r="71" spans="2:6" x14ac:dyDescent="0.25">
      <c r="B71" s="886"/>
      <c r="C71" s="884"/>
      <c r="D71" s="893"/>
      <c r="E71" s="885"/>
      <c r="F71" s="905"/>
    </row>
    <row r="72" spans="2:6" x14ac:dyDescent="0.25">
      <c r="B72" s="885" t="s">
        <v>361</v>
      </c>
      <c r="C72" s="884"/>
      <c r="D72" s="893"/>
      <c r="E72" s="885"/>
      <c r="F72" s="905"/>
    </row>
    <row r="73" spans="2:6" x14ac:dyDescent="0.25">
      <c r="B73" s="1317" t="s">
        <v>147</v>
      </c>
      <c r="C73" s="1314" t="s">
        <v>844</v>
      </c>
      <c r="D73" s="1315"/>
      <c r="E73" s="1315"/>
      <c r="F73" s="1315"/>
    </row>
    <row r="74" spans="2:6" x14ac:dyDescent="0.25">
      <c r="B74" s="1318"/>
      <c r="C74" s="888" t="s">
        <v>637</v>
      </c>
      <c r="D74" s="892">
        <v>2</v>
      </c>
      <c r="E74" s="902">
        <v>2</v>
      </c>
      <c r="F74" s="911" t="s">
        <v>347</v>
      </c>
    </row>
    <row r="75" spans="2:6" x14ac:dyDescent="0.25">
      <c r="B75" s="1319"/>
      <c r="C75" s="888" t="s">
        <v>638</v>
      </c>
      <c r="D75" s="892">
        <v>1</v>
      </c>
      <c r="E75" s="914">
        <v>1</v>
      </c>
      <c r="F75" s="915" t="s">
        <v>347</v>
      </c>
    </row>
    <row r="76" spans="2:6" x14ac:dyDescent="0.25">
      <c r="B76" s="890" t="s">
        <v>148</v>
      </c>
      <c r="C76" s="895" t="s">
        <v>845</v>
      </c>
      <c r="D76" s="892">
        <v>10</v>
      </c>
      <c r="E76" s="914">
        <v>10</v>
      </c>
      <c r="F76" s="915" t="s">
        <v>347</v>
      </c>
    </row>
    <row r="77" spans="2:6" x14ac:dyDescent="0.25">
      <c r="B77" s="886"/>
      <c r="C77" s="884"/>
      <c r="D77" s="893"/>
      <c r="E77" s="885"/>
      <c r="F77" s="905"/>
    </row>
    <row r="78" spans="2:6" x14ac:dyDescent="0.25">
      <c r="B78" s="885" t="s">
        <v>364</v>
      </c>
      <c r="C78" s="884"/>
      <c r="D78" s="893"/>
      <c r="E78" s="885"/>
      <c r="F78" s="905"/>
    </row>
    <row r="79" spans="2:6" x14ac:dyDescent="0.25">
      <c r="B79" s="890" t="s">
        <v>169</v>
      </c>
      <c r="C79" s="895" t="s">
        <v>365</v>
      </c>
      <c r="D79" s="892">
        <v>5</v>
      </c>
      <c r="E79" s="914">
        <v>1</v>
      </c>
      <c r="F79" s="915" t="s">
        <v>347</v>
      </c>
    </row>
    <row r="80" spans="2:6" x14ac:dyDescent="0.25">
      <c r="B80" s="890" t="s">
        <v>170</v>
      </c>
      <c r="C80" s="895" t="s">
        <v>366</v>
      </c>
      <c r="D80" s="892">
        <v>1</v>
      </c>
      <c r="E80" s="914">
        <v>1</v>
      </c>
      <c r="F80" s="915" t="s">
        <v>347</v>
      </c>
    </row>
    <row r="81" spans="2:6" x14ac:dyDescent="0.25">
      <c r="B81" s="890" t="s">
        <v>171</v>
      </c>
      <c r="C81" s="1314" t="s">
        <v>367</v>
      </c>
      <c r="D81" s="1315"/>
      <c r="E81" s="1315"/>
      <c r="F81" s="1315"/>
    </row>
    <row r="82" spans="2:6" x14ac:dyDescent="0.25">
      <c r="B82" s="890"/>
      <c r="C82" s="888" t="s">
        <v>643</v>
      </c>
      <c r="D82" s="892">
        <v>1</v>
      </c>
      <c r="E82" s="914">
        <v>1</v>
      </c>
      <c r="F82" s="915" t="s">
        <v>347</v>
      </c>
    </row>
    <row r="83" spans="2:6" x14ac:dyDescent="0.25">
      <c r="B83" s="890"/>
      <c r="C83" s="888" t="s">
        <v>644</v>
      </c>
      <c r="D83" s="892">
        <v>1</v>
      </c>
      <c r="E83" s="914">
        <v>1</v>
      </c>
      <c r="F83" s="915" t="s">
        <v>347</v>
      </c>
    </row>
    <row r="84" spans="2:6" x14ac:dyDescent="0.25">
      <c r="B84" s="890"/>
      <c r="C84" s="888" t="s">
        <v>645</v>
      </c>
      <c r="D84" s="892" t="s">
        <v>235</v>
      </c>
      <c r="E84" s="914" t="s">
        <v>235</v>
      </c>
      <c r="F84" s="915" t="s">
        <v>352</v>
      </c>
    </row>
    <row r="85" spans="2:6" x14ac:dyDescent="0.25">
      <c r="B85" s="890" t="s">
        <v>172</v>
      </c>
      <c r="C85" s="895" t="s">
        <v>368</v>
      </c>
      <c r="D85" s="892">
        <v>1</v>
      </c>
      <c r="E85" s="914">
        <v>1</v>
      </c>
      <c r="F85" s="915" t="s">
        <v>347</v>
      </c>
    </row>
    <row r="86" spans="2:6" x14ac:dyDescent="0.25">
      <c r="B86" s="886"/>
      <c r="C86" s="884"/>
      <c r="D86" s="893"/>
      <c r="E86" s="885"/>
      <c r="F86" s="905"/>
    </row>
    <row r="87" spans="2:6" x14ac:dyDescent="0.25">
      <c r="B87" s="885" t="s">
        <v>369</v>
      </c>
      <c r="C87" s="884"/>
      <c r="D87" s="893"/>
      <c r="E87" s="885"/>
      <c r="F87" s="905"/>
    </row>
    <row r="88" spans="2:6" x14ac:dyDescent="0.25">
      <c r="B88" s="890" t="s">
        <v>173</v>
      </c>
      <c r="C88" s="1314" t="s">
        <v>846</v>
      </c>
      <c r="D88" s="1315"/>
      <c r="E88" s="1315"/>
      <c r="F88" s="1316"/>
    </row>
    <row r="89" spans="2:6" x14ac:dyDescent="0.25">
      <c r="B89" s="890"/>
      <c r="C89" s="888" t="s">
        <v>647</v>
      </c>
      <c r="D89" s="892">
        <v>3</v>
      </c>
      <c r="E89" s="902">
        <v>3</v>
      </c>
      <c r="F89" s="903" t="s">
        <v>347</v>
      </c>
    </row>
    <row r="90" spans="2:6" x14ac:dyDescent="0.25">
      <c r="B90" s="890"/>
      <c r="C90" s="888" t="s">
        <v>648</v>
      </c>
      <c r="D90" s="892">
        <v>2</v>
      </c>
      <c r="E90" s="902">
        <v>2</v>
      </c>
      <c r="F90" s="903" t="s">
        <v>347</v>
      </c>
    </row>
    <row r="91" spans="2:6" x14ac:dyDescent="0.25">
      <c r="B91" s="890" t="s">
        <v>478</v>
      </c>
      <c r="C91" s="1314" t="s">
        <v>847</v>
      </c>
      <c r="D91" s="1315"/>
      <c r="E91" s="1315"/>
      <c r="F91" s="1316"/>
    </row>
    <row r="92" spans="2:6" x14ac:dyDescent="0.25">
      <c r="B92" s="890"/>
      <c r="C92" s="888" t="s">
        <v>650</v>
      </c>
      <c r="D92" s="892">
        <v>1</v>
      </c>
      <c r="E92" s="902">
        <v>1</v>
      </c>
      <c r="F92" s="903" t="s">
        <v>347</v>
      </c>
    </row>
    <row r="93" spans="2:6" x14ac:dyDescent="0.25">
      <c r="B93" s="890"/>
      <c r="C93" s="888" t="s">
        <v>651</v>
      </c>
      <c r="D93" s="892">
        <v>2</v>
      </c>
      <c r="E93" s="902">
        <v>1</v>
      </c>
      <c r="F93" s="903" t="s">
        <v>347</v>
      </c>
    </row>
    <row r="94" spans="2:6" x14ac:dyDescent="0.25">
      <c r="B94" s="890" t="s">
        <v>174</v>
      </c>
      <c r="C94" s="1314" t="s">
        <v>848</v>
      </c>
      <c r="D94" s="1315"/>
      <c r="E94" s="1315"/>
      <c r="F94" s="1316"/>
    </row>
    <row r="95" spans="2:6" x14ac:dyDescent="0.25">
      <c r="B95" s="890"/>
      <c r="C95" s="888" t="s">
        <v>653</v>
      </c>
      <c r="D95" s="892">
        <v>1</v>
      </c>
      <c r="E95" s="902">
        <v>1</v>
      </c>
      <c r="F95" s="903" t="s">
        <v>347</v>
      </c>
    </row>
    <row r="96" spans="2:6" x14ac:dyDescent="0.25">
      <c r="B96" s="890"/>
      <c r="C96" s="888" t="s">
        <v>654</v>
      </c>
      <c r="D96" s="892">
        <v>2</v>
      </c>
      <c r="E96" s="902">
        <v>1</v>
      </c>
      <c r="F96" s="903" t="s">
        <v>347</v>
      </c>
    </row>
    <row r="97" spans="2:6" x14ac:dyDescent="0.25">
      <c r="B97" s="890" t="s">
        <v>175</v>
      </c>
      <c r="C97" s="1314" t="s">
        <v>370</v>
      </c>
      <c r="D97" s="1315"/>
      <c r="E97" s="1315"/>
      <c r="F97" s="1316"/>
    </row>
    <row r="98" spans="2:6" x14ac:dyDescent="0.25">
      <c r="B98" s="894"/>
      <c r="C98" s="888" t="s">
        <v>656</v>
      </c>
      <c r="D98" s="892">
        <v>1</v>
      </c>
      <c r="E98" s="902">
        <v>1</v>
      </c>
      <c r="F98" s="903" t="s">
        <v>347</v>
      </c>
    </row>
    <row r="99" spans="2:6" x14ac:dyDescent="0.25">
      <c r="B99" s="894"/>
      <c r="C99" s="888" t="s">
        <v>657</v>
      </c>
      <c r="D99" s="892">
        <v>1</v>
      </c>
      <c r="E99" s="902" t="s">
        <v>235</v>
      </c>
      <c r="F99" s="903" t="s">
        <v>352</v>
      </c>
    </row>
    <row r="100" spans="2:6" x14ac:dyDescent="0.25">
      <c r="B100" s="894"/>
      <c r="C100" s="888" t="s">
        <v>658</v>
      </c>
      <c r="D100" s="892">
        <v>2</v>
      </c>
      <c r="E100" s="902">
        <v>2</v>
      </c>
      <c r="F100" s="903" t="s">
        <v>347</v>
      </c>
    </row>
    <row r="101" spans="2:6" x14ac:dyDescent="0.25">
      <c r="B101" s="890" t="s">
        <v>176</v>
      </c>
      <c r="C101" s="1314" t="s">
        <v>660</v>
      </c>
      <c r="D101" s="1315"/>
      <c r="E101" s="1315"/>
      <c r="F101" s="1316"/>
    </row>
    <row r="102" spans="2:6" x14ac:dyDescent="0.25">
      <c r="B102" s="894"/>
      <c r="C102" s="888" t="s">
        <v>659</v>
      </c>
      <c r="D102" s="892">
        <v>1</v>
      </c>
      <c r="E102" s="902">
        <v>1</v>
      </c>
      <c r="F102" s="903" t="s">
        <v>347</v>
      </c>
    </row>
    <row r="103" spans="2:6" x14ac:dyDescent="0.25">
      <c r="B103" s="894"/>
      <c r="C103" s="888" t="s">
        <v>660</v>
      </c>
      <c r="D103" s="892">
        <v>1</v>
      </c>
      <c r="E103" s="902">
        <v>1</v>
      </c>
      <c r="F103" s="903" t="s">
        <v>347</v>
      </c>
    </row>
    <row r="104" spans="2:6" x14ac:dyDescent="0.25">
      <c r="B104" s="894"/>
      <c r="C104" s="888" t="s">
        <v>661</v>
      </c>
      <c r="D104" s="892">
        <v>2</v>
      </c>
      <c r="E104" s="902">
        <v>2</v>
      </c>
      <c r="F104" s="903" t="s">
        <v>347</v>
      </c>
    </row>
    <row r="105" spans="2:6" x14ac:dyDescent="0.25">
      <c r="B105" s="890" t="s">
        <v>479</v>
      </c>
      <c r="C105" s="1314" t="s">
        <v>849</v>
      </c>
      <c r="D105" s="1315"/>
      <c r="E105" s="1315"/>
      <c r="F105" s="1316"/>
    </row>
    <row r="106" spans="2:6" x14ac:dyDescent="0.25">
      <c r="B106" s="894"/>
      <c r="C106" s="888" t="s">
        <v>662</v>
      </c>
      <c r="D106" s="892">
        <v>1</v>
      </c>
      <c r="E106" s="902">
        <v>1</v>
      </c>
      <c r="F106" s="903" t="s">
        <v>347</v>
      </c>
    </row>
    <row r="107" spans="2:6" x14ac:dyDescent="0.25">
      <c r="B107" s="894"/>
      <c r="C107" s="888" t="s">
        <v>663</v>
      </c>
      <c r="D107" s="892">
        <v>1</v>
      </c>
      <c r="E107" s="902">
        <v>1</v>
      </c>
      <c r="F107" s="903" t="s">
        <v>347</v>
      </c>
    </row>
    <row r="108" spans="2:6" x14ac:dyDescent="0.25">
      <c r="B108" s="894"/>
      <c r="C108" s="888" t="s">
        <v>850</v>
      </c>
      <c r="D108" s="892">
        <v>2</v>
      </c>
      <c r="E108" s="902">
        <v>2</v>
      </c>
      <c r="F108" s="903" t="s">
        <v>347</v>
      </c>
    </row>
    <row r="109" spans="2:6" x14ac:dyDescent="0.25">
      <c r="B109" s="885" t="s">
        <v>371</v>
      </c>
      <c r="C109" s="884"/>
      <c r="D109" s="893"/>
      <c r="E109" s="885"/>
      <c r="F109" s="905"/>
    </row>
    <row r="110" spans="2:6" x14ac:dyDescent="0.25">
      <c r="B110" s="898" t="s">
        <v>177</v>
      </c>
      <c r="C110" s="1339" t="s">
        <v>372</v>
      </c>
      <c r="D110" s="1337"/>
      <c r="E110" s="1337"/>
      <c r="F110" s="1338"/>
    </row>
    <row r="111" spans="2:6" x14ac:dyDescent="0.25">
      <c r="B111" s="890"/>
      <c r="C111" s="888" t="s">
        <v>665</v>
      </c>
      <c r="D111" s="892">
        <v>1</v>
      </c>
      <c r="E111" s="902">
        <v>1</v>
      </c>
      <c r="F111" s="903" t="s">
        <v>347</v>
      </c>
    </row>
    <row r="112" spans="2:6" x14ac:dyDescent="0.25">
      <c r="B112" s="890"/>
      <c r="C112" s="888" t="s">
        <v>666</v>
      </c>
      <c r="D112" s="892">
        <v>2</v>
      </c>
      <c r="E112" s="902">
        <v>2</v>
      </c>
      <c r="F112" s="903" t="s">
        <v>347</v>
      </c>
    </row>
    <row r="113" spans="2:6" x14ac:dyDescent="0.25">
      <c r="B113" s="890"/>
      <c r="C113" s="888" t="s">
        <v>667</v>
      </c>
      <c r="D113" s="892">
        <v>2</v>
      </c>
      <c r="E113" s="902">
        <v>2</v>
      </c>
      <c r="F113" s="903" t="s">
        <v>347</v>
      </c>
    </row>
    <row r="114" spans="2:6" x14ac:dyDescent="0.25">
      <c r="B114" s="898" t="s">
        <v>373</v>
      </c>
      <c r="C114" s="895" t="s">
        <v>374</v>
      </c>
      <c r="D114" s="892">
        <v>1</v>
      </c>
      <c r="E114" s="902">
        <v>1</v>
      </c>
      <c r="F114" s="903" t="s">
        <v>347</v>
      </c>
    </row>
    <row r="115" spans="2:6" x14ac:dyDescent="0.25">
      <c r="B115" s="898" t="s">
        <v>375</v>
      </c>
      <c r="C115" s="895" t="s">
        <v>374</v>
      </c>
      <c r="D115" s="892" t="s">
        <v>235</v>
      </c>
      <c r="E115" s="902" t="s">
        <v>235</v>
      </c>
      <c r="F115" s="903" t="s">
        <v>352</v>
      </c>
    </row>
    <row r="116" spans="2:6" x14ac:dyDescent="0.25">
      <c r="B116" s="898" t="s">
        <v>179</v>
      </c>
      <c r="C116" s="895" t="s">
        <v>376</v>
      </c>
      <c r="D116" s="892">
        <v>1</v>
      </c>
      <c r="E116" s="902">
        <v>1</v>
      </c>
      <c r="F116" s="903" t="s">
        <v>352</v>
      </c>
    </row>
    <row r="117" spans="2:6" x14ac:dyDescent="0.25">
      <c r="B117" s="886"/>
      <c r="C117" s="884"/>
      <c r="D117" s="893"/>
      <c r="E117" s="885"/>
      <c r="F117" s="905"/>
    </row>
    <row r="118" spans="2:6" x14ac:dyDescent="0.25">
      <c r="B118" s="885" t="s">
        <v>377</v>
      </c>
      <c r="C118" s="884"/>
      <c r="D118" s="893"/>
      <c r="E118" s="885"/>
      <c r="F118" s="905"/>
    </row>
    <row r="119" spans="2:6" x14ac:dyDescent="0.25">
      <c r="B119" s="898" t="s">
        <v>180</v>
      </c>
      <c r="C119" s="895" t="s">
        <v>378</v>
      </c>
      <c r="D119" s="892" t="s">
        <v>235</v>
      </c>
      <c r="E119" s="902" t="s">
        <v>235</v>
      </c>
      <c r="F119" s="903" t="s">
        <v>352</v>
      </c>
    </row>
    <row r="120" spans="2:6" x14ac:dyDescent="0.25">
      <c r="B120" s="898" t="s">
        <v>181</v>
      </c>
      <c r="C120" s="1314" t="s">
        <v>851</v>
      </c>
      <c r="D120" s="1315"/>
      <c r="E120" s="1315"/>
      <c r="F120" s="1316"/>
    </row>
    <row r="121" spans="2:6" x14ac:dyDescent="0.25">
      <c r="B121" s="890"/>
      <c r="C121" s="888" t="s">
        <v>673</v>
      </c>
      <c r="D121" s="892">
        <v>1</v>
      </c>
      <c r="E121" s="902">
        <v>1</v>
      </c>
      <c r="F121" s="903" t="s">
        <v>347</v>
      </c>
    </row>
    <row r="122" spans="2:6" x14ac:dyDescent="0.25">
      <c r="B122" s="890"/>
      <c r="C122" s="888" t="s">
        <v>674</v>
      </c>
      <c r="D122" s="892">
        <v>1</v>
      </c>
      <c r="E122" s="902">
        <v>1</v>
      </c>
      <c r="F122" s="903" t="s">
        <v>347</v>
      </c>
    </row>
    <row r="123" spans="2:6" x14ac:dyDescent="0.25">
      <c r="B123" s="898" t="s">
        <v>852</v>
      </c>
      <c r="C123" s="1339" t="s">
        <v>853</v>
      </c>
      <c r="D123" s="1337"/>
      <c r="E123" s="1337"/>
      <c r="F123" s="1338"/>
    </row>
    <row r="124" spans="2:6" x14ac:dyDescent="0.25">
      <c r="B124" s="890"/>
      <c r="C124" s="888" t="s">
        <v>676</v>
      </c>
      <c r="D124" s="892">
        <v>1</v>
      </c>
      <c r="E124" s="902">
        <v>1</v>
      </c>
      <c r="F124" s="903" t="s">
        <v>347</v>
      </c>
    </row>
    <row r="125" spans="2:6" x14ac:dyDescent="0.25">
      <c r="B125" s="890"/>
      <c r="C125" s="888" t="s">
        <v>677</v>
      </c>
      <c r="D125" s="892">
        <v>2</v>
      </c>
      <c r="E125" s="902">
        <v>1</v>
      </c>
      <c r="F125" s="903" t="s">
        <v>347</v>
      </c>
    </row>
    <row r="126" spans="2:6" x14ac:dyDescent="0.25">
      <c r="B126" s="898" t="s">
        <v>182</v>
      </c>
      <c r="C126" s="1314" t="s">
        <v>854</v>
      </c>
      <c r="D126" s="1315"/>
      <c r="E126" s="1315"/>
      <c r="F126" s="1316"/>
    </row>
    <row r="127" spans="2:6" x14ac:dyDescent="0.25">
      <c r="B127" s="890"/>
      <c r="C127" s="888" t="s">
        <v>679</v>
      </c>
      <c r="D127" s="892">
        <v>1</v>
      </c>
      <c r="E127" s="902">
        <v>1</v>
      </c>
      <c r="F127" s="903" t="s">
        <v>347</v>
      </c>
    </row>
    <row r="128" spans="2:6" x14ac:dyDescent="0.25">
      <c r="B128" s="890"/>
      <c r="C128" s="888" t="s">
        <v>680</v>
      </c>
      <c r="D128" s="892">
        <v>3</v>
      </c>
      <c r="E128" s="902">
        <v>3</v>
      </c>
      <c r="F128" s="903" t="s">
        <v>347</v>
      </c>
    </row>
    <row r="129" spans="2:6" x14ac:dyDescent="0.25">
      <c r="B129" s="898" t="s">
        <v>183</v>
      </c>
      <c r="C129" s="1314" t="s">
        <v>379</v>
      </c>
      <c r="D129" s="1315"/>
      <c r="E129" s="1315"/>
      <c r="F129" s="1316"/>
    </row>
    <row r="130" spans="2:6" x14ac:dyDescent="0.25">
      <c r="B130" s="890"/>
      <c r="C130" s="888" t="s">
        <v>682</v>
      </c>
      <c r="D130" s="892">
        <v>1</v>
      </c>
      <c r="E130" s="902">
        <v>1</v>
      </c>
      <c r="F130" s="903" t="s">
        <v>347</v>
      </c>
    </row>
    <row r="131" spans="2:6" x14ac:dyDescent="0.25">
      <c r="B131" s="890"/>
      <c r="C131" s="888" t="s">
        <v>683</v>
      </c>
      <c r="D131" s="892">
        <v>1</v>
      </c>
      <c r="E131" s="902">
        <v>1</v>
      </c>
      <c r="F131" s="903" t="s">
        <v>347</v>
      </c>
    </row>
    <row r="132" spans="2:6" x14ac:dyDescent="0.25">
      <c r="B132" s="898" t="s">
        <v>184</v>
      </c>
      <c r="C132" s="895" t="s">
        <v>855</v>
      </c>
      <c r="D132" s="892">
        <v>1</v>
      </c>
      <c r="E132" s="902" t="s">
        <v>235</v>
      </c>
      <c r="F132" s="903" t="s">
        <v>352</v>
      </c>
    </row>
    <row r="133" spans="2:6" x14ac:dyDescent="0.25">
      <c r="B133" s="899" t="s">
        <v>856</v>
      </c>
      <c r="C133" s="900" t="s">
        <v>857</v>
      </c>
      <c r="D133" s="892">
        <v>2</v>
      </c>
      <c r="E133" s="902">
        <v>2</v>
      </c>
      <c r="F133" s="903" t="s">
        <v>347</v>
      </c>
    </row>
    <row r="134" spans="2:6" x14ac:dyDescent="0.25">
      <c r="B134" s="899" t="s">
        <v>858</v>
      </c>
      <c r="C134" s="1337" t="s">
        <v>859</v>
      </c>
      <c r="D134" s="1337"/>
      <c r="E134" s="1337"/>
      <c r="F134" s="1338"/>
    </row>
    <row r="135" spans="2:6" x14ac:dyDescent="0.25">
      <c r="B135" s="894"/>
      <c r="C135" s="888" t="s">
        <v>688</v>
      </c>
      <c r="D135" s="892">
        <v>1</v>
      </c>
      <c r="E135" s="902">
        <v>1</v>
      </c>
      <c r="F135" s="903" t="s">
        <v>347</v>
      </c>
    </row>
    <row r="136" spans="2:6" x14ac:dyDescent="0.25">
      <c r="B136" s="894"/>
      <c r="C136" s="888" t="s">
        <v>689</v>
      </c>
      <c r="D136" s="892">
        <v>1</v>
      </c>
      <c r="E136" s="902">
        <v>1</v>
      </c>
      <c r="F136" s="903" t="s">
        <v>347</v>
      </c>
    </row>
    <row r="137" spans="2:6" x14ac:dyDescent="0.25">
      <c r="B137" s="894"/>
      <c r="C137" s="896"/>
      <c r="D137" s="897"/>
      <c r="E137" s="916"/>
      <c r="F137" s="905"/>
    </row>
    <row r="138" spans="2:6" x14ac:dyDescent="0.25">
      <c r="B138" s="885" t="s">
        <v>380</v>
      </c>
      <c r="C138" s="884"/>
      <c r="D138" s="893"/>
      <c r="E138" s="885"/>
      <c r="F138" s="905"/>
    </row>
    <row r="139" spans="2:6" x14ac:dyDescent="0.25">
      <c r="B139" s="898" t="s">
        <v>381</v>
      </c>
      <c r="C139" s="895" t="s">
        <v>382</v>
      </c>
      <c r="D139" s="892">
        <v>3</v>
      </c>
      <c r="E139" s="902">
        <v>3</v>
      </c>
      <c r="F139" s="903" t="s">
        <v>347</v>
      </c>
    </row>
    <row r="140" spans="2:6" x14ac:dyDescent="0.25">
      <c r="B140" s="898" t="s">
        <v>383</v>
      </c>
      <c r="C140" s="895" t="s">
        <v>860</v>
      </c>
      <c r="D140" s="892">
        <v>2</v>
      </c>
      <c r="E140" s="902">
        <v>2</v>
      </c>
      <c r="F140" s="903" t="s">
        <v>347</v>
      </c>
    </row>
    <row r="141" spans="2:6" x14ac:dyDescent="0.25">
      <c r="B141" s="898" t="s">
        <v>385</v>
      </c>
      <c r="C141" s="895" t="s">
        <v>386</v>
      </c>
      <c r="D141" s="892">
        <v>1</v>
      </c>
      <c r="E141" s="902">
        <v>1</v>
      </c>
      <c r="F141" s="903" t="s">
        <v>347</v>
      </c>
    </row>
    <row r="142" spans="2:6" x14ac:dyDescent="0.25">
      <c r="B142" s="898" t="s">
        <v>387</v>
      </c>
      <c r="C142" s="895" t="s">
        <v>388</v>
      </c>
      <c r="D142" s="892">
        <v>1</v>
      </c>
      <c r="E142" s="902">
        <v>1</v>
      </c>
      <c r="F142" s="903" t="s">
        <v>347</v>
      </c>
    </row>
    <row r="143" spans="2:6" x14ac:dyDescent="0.25">
      <c r="B143" s="886"/>
      <c r="C143" s="884"/>
      <c r="D143" s="893"/>
      <c r="E143" s="885"/>
      <c r="F143" s="905"/>
    </row>
    <row r="144" spans="2:6" x14ac:dyDescent="0.25">
      <c r="B144" s="885" t="s">
        <v>389</v>
      </c>
      <c r="C144" s="884"/>
      <c r="D144" s="893"/>
      <c r="E144" s="885"/>
      <c r="F144" s="905"/>
    </row>
    <row r="145" spans="2:6" x14ac:dyDescent="0.25">
      <c r="B145" s="890" t="s">
        <v>548</v>
      </c>
      <c r="C145" s="888" t="s">
        <v>861</v>
      </c>
      <c r="D145" s="892">
        <v>1</v>
      </c>
      <c r="E145" s="902">
        <v>1</v>
      </c>
      <c r="F145" s="903" t="s">
        <v>347</v>
      </c>
    </row>
    <row r="146" spans="2:6" x14ac:dyDescent="0.25">
      <c r="B146" s="890" t="s">
        <v>862</v>
      </c>
      <c r="C146" s="888" t="s">
        <v>863</v>
      </c>
      <c r="D146" s="892">
        <v>1</v>
      </c>
      <c r="E146" s="902">
        <v>1</v>
      </c>
      <c r="F146" s="903" t="s">
        <v>347</v>
      </c>
    </row>
    <row r="147" spans="2:6" x14ac:dyDescent="0.25">
      <c r="B147" s="890" t="s">
        <v>862</v>
      </c>
      <c r="C147" s="888" t="s">
        <v>864</v>
      </c>
      <c r="D147" s="892">
        <v>1</v>
      </c>
      <c r="E147" s="902">
        <v>1</v>
      </c>
      <c r="F147" s="903" t="s">
        <v>347</v>
      </c>
    </row>
    <row r="148" spans="2:6" x14ac:dyDescent="0.25">
      <c r="B148" s="890" t="s">
        <v>542</v>
      </c>
      <c r="C148" s="888" t="s">
        <v>865</v>
      </c>
      <c r="D148" s="892">
        <v>1</v>
      </c>
      <c r="E148" s="902">
        <v>1</v>
      </c>
      <c r="F148" s="903" t="s">
        <v>352</v>
      </c>
    </row>
    <row r="149" spans="2:6" x14ac:dyDescent="0.25">
      <c r="B149" s="890" t="s">
        <v>573</v>
      </c>
      <c r="C149" s="888" t="s">
        <v>866</v>
      </c>
      <c r="D149" s="892">
        <v>1</v>
      </c>
      <c r="E149" s="902">
        <v>1</v>
      </c>
      <c r="F149" s="903" t="s">
        <v>347</v>
      </c>
    </row>
    <row r="150" spans="2:6" x14ac:dyDescent="0.25">
      <c r="B150" s="890" t="s">
        <v>573</v>
      </c>
      <c r="C150" s="888" t="s">
        <v>867</v>
      </c>
      <c r="D150" s="892">
        <v>1</v>
      </c>
      <c r="E150" s="902">
        <v>1</v>
      </c>
      <c r="F150" s="903" t="s">
        <v>347</v>
      </c>
    </row>
    <row r="151" spans="2:6" x14ac:dyDescent="0.25">
      <c r="B151" s="890" t="s">
        <v>868</v>
      </c>
      <c r="C151" s="888" t="s">
        <v>869</v>
      </c>
      <c r="D151" s="892">
        <v>1</v>
      </c>
      <c r="E151" s="902">
        <v>1</v>
      </c>
      <c r="F151" s="903" t="s">
        <v>347</v>
      </c>
    </row>
    <row r="152" spans="2:6" x14ac:dyDescent="0.25">
      <c r="B152" s="890" t="s">
        <v>4</v>
      </c>
      <c r="C152" s="888" t="s">
        <v>870</v>
      </c>
      <c r="D152" s="892">
        <v>1</v>
      </c>
      <c r="E152" s="902">
        <v>1</v>
      </c>
      <c r="F152" s="903" t="s">
        <v>347</v>
      </c>
    </row>
    <row r="153" spans="2:6" x14ac:dyDescent="0.25">
      <c r="B153" s="890" t="s">
        <v>551</v>
      </c>
      <c r="C153" s="888" t="s">
        <v>871</v>
      </c>
      <c r="D153" s="892">
        <v>1</v>
      </c>
      <c r="E153" s="902">
        <v>1</v>
      </c>
      <c r="F153" s="903" t="s">
        <v>347</v>
      </c>
    </row>
    <row r="154" spans="2:6" x14ac:dyDescent="0.25">
      <c r="B154" s="881" t="s">
        <v>553</v>
      </c>
      <c r="C154" s="888" t="s">
        <v>872</v>
      </c>
      <c r="D154" s="892">
        <v>1</v>
      </c>
      <c r="E154" s="902">
        <v>1</v>
      </c>
      <c r="F154" s="903" t="s">
        <v>347</v>
      </c>
    </row>
    <row r="155" spans="2:6" x14ac:dyDescent="0.25">
      <c r="B155" s="881" t="s">
        <v>873</v>
      </c>
      <c r="C155" s="888" t="s">
        <v>874</v>
      </c>
      <c r="D155" s="892">
        <v>1</v>
      </c>
      <c r="E155" s="902">
        <v>1</v>
      </c>
      <c r="F155" s="903" t="s">
        <v>347</v>
      </c>
    </row>
    <row r="156" spans="2:6" x14ac:dyDescent="0.25">
      <c r="B156" s="881" t="s">
        <v>875</v>
      </c>
      <c r="C156" s="888" t="s">
        <v>876</v>
      </c>
      <c r="D156" s="892">
        <v>1</v>
      </c>
      <c r="E156" s="902">
        <v>1</v>
      </c>
      <c r="F156" s="903" t="s">
        <v>347</v>
      </c>
    </row>
    <row r="157" spans="2:6" x14ac:dyDescent="0.25">
      <c r="B157" s="881" t="s">
        <v>877</v>
      </c>
      <c r="C157" s="888" t="s">
        <v>878</v>
      </c>
      <c r="D157" s="892">
        <v>1</v>
      </c>
      <c r="E157" s="902" t="s">
        <v>235</v>
      </c>
      <c r="F157" s="903" t="s">
        <v>352</v>
      </c>
    </row>
    <row r="158" spans="2:6" x14ac:dyDescent="0.25">
      <c r="B158" s="881" t="s">
        <v>858</v>
      </c>
      <c r="C158" s="888" t="s">
        <v>879</v>
      </c>
      <c r="D158" s="892">
        <v>1</v>
      </c>
      <c r="E158" s="902">
        <v>1</v>
      </c>
      <c r="F158" s="903" t="s">
        <v>347</v>
      </c>
    </row>
  </sheetData>
  <mergeCells count="48">
    <mergeCell ref="C129:F129"/>
    <mergeCell ref="C134:F134"/>
    <mergeCell ref="C105:F105"/>
    <mergeCell ref="C110:F110"/>
    <mergeCell ref="C123:F123"/>
    <mergeCell ref="C120:F120"/>
    <mergeCell ref="C126:F126"/>
    <mergeCell ref="B39:B42"/>
    <mergeCell ref="B44:B46"/>
    <mergeCell ref="B50:B55"/>
    <mergeCell ref="B56:B59"/>
    <mergeCell ref="B67:B69"/>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C24:F24"/>
    <mergeCell ref="C29:F29"/>
    <mergeCell ref="C35:F35"/>
    <mergeCell ref="C39:F39"/>
    <mergeCell ref="C44:F44"/>
    <mergeCell ref="C50:F50"/>
    <mergeCell ref="C56:F56"/>
    <mergeCell ref="B61:B63"/>
    <mergeCell ref="C61:F61"/>
    <mergeCell ref="C64:F64"/>
    <mergeCell ref="C67:F67"/>
    <mergeCell ref="B64:B66"/>
    <mergeCell ref="B73:B75"/>
    <mergeCell ref="C73:F73"/>
    <mergeCell ref="C81:F81"/>
    <mergeCell ref="C88:F88"/>
    <mergeCell ref="C91:F91"/>
    <mergeCell ref="C94:F94"/>
    <mergeCell ref="C97:F97"/>
    <mergeCell ref="C101:F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2"/>
  <sheetViews>
    <sheetView zoomScale="90" zoomScaleNormal="90" workbookViewId="0">
      <selection activeCell="K9" sqref="K9"/>
    </sheetView>
  </sheetViews>
  <sheetFormatPr defaultColWidth="8.85546875" defaultRowHeight="15" x14ac:dyDescent="0.25"/>
  <cols>
    <col min="1" max="1" width="13.5703125" customWidth="1"/>
    <col min="2" max="2" width="7.28515625" style="367" customWidth="1"/>
    <col min="3" max="3" width="60.28515625" bestFit="1" customWidth="1"/>
    <col min="4" max="4" width="19.85546875" hidden="1" customWidth="1"/>
    <col min="5" max="5" width="27.140625" hidden="1" customWidth="1"/>
    <col min="6" max="6" width="22.5703125" style="30" hidden="1" customWidth="1"/>
    <col min="7" max="7" width="8.85546875" customWidth="1"/>
    <col min="8" max="8" width="11.140625" customWidth="1"/>
    <col min="9" max="16" width="8.85546875" customWidth="1"/>
    <col min="17" max="17" width="8.85546875" style="981" customWidth="1"/>
    <col min="18"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s="30" customFormat="1" ht="15.75" thickBot="1" x14ac:dyDescent="0.3">
      <c r="A1" s="30">
        <v>1</v>
      </c>
      <c r="B1" s="367">
        <v>2</v>
      </c>
      <c r="C1" s="30">
        <v>3</v>
      </c>
      <c r="D1" s="30">
        <v>4</v>
      </c>
      <c r="E1" s="30">
        <v>5</v>
      </c>
      <c r="F1" s="30">
        <v>6</v>
      </c>
      <c r="G1" s="30">
        <v>7</v>
      </c>
      <c r="H1" s="30">
        <v>8</v>
      </c>
      <c r="Q1" s="981"/>
    </row>
    <row r="2" spans="1:31" s="30" customFormat="1" ht="15.75" thickBot="1" x14ac:dyDescent="0.3">
      <c r="B2" s="367"/>
      <c r="C2" s="68" t="s">
        <v>252</v>
      </c>
      <c r="D2" s="68"/>
      <c r="E2" s="68"/>
      <c r="F2" s="68"/>
      <c r="G2" s="68"/>
      <c r="H2" s="363" t="s">
        <v>335</v>
      </c>
      <c r="I2" s="344" t="s">
        <v>13</v>
      </c>
      <c r="J2" s="30" t="s">
        <v>12</v>
      </c>
      <c r="Q2" s="981"/>
    </row>
    <row r="3" spans="1:31" s="30" customFormat="1" ht="15.75" thickBot="1" x14ac:dyDescent="0.3">
      <c r="B3" s="367"/>
      <c r="Q3" s="981"/>
      <c r="S3" s="30" t="s">
        <v>392</v>
      </c>
    </row>
    <row r="4" spans="1:31" s="30" customFormat="1" ht="15.75" thickBot="1" x14ac:dyDescent="0.3">
      <c r="B4" s="367"/>
      <c r="Q4" s="981"/>
      <c r="S4" s="359" t="s">
        <v>342</v>
      </c>
      <c r="T4" s="360" t="s">
        <v>343</v>
      </c>
      <c r="U4" s="360" t="s">
        <v>344</v>
      </c>
      <c r="V4" s="361"/>
      <c r="W4"/>
    </row>
    <row r="5" spans="1:31" ht="15.75" thickBot="1" x14ac:dyDescent="0.3">
      <c r="C5" s="58" t="s">
        <v>86</v>
      </c>
      <c r="D5" s="61" t="s">
        <v>248</v>
      </c>
      <c r="E5" s="66" t="s">
        <v>251</v>
      </c>
      <c r="F5" s="61" t="s">
        <v>214</v>
      </c>
      <c r="H5" s="362" t="s">
        <v>390</v>
      </c>
      <c r="N5" s="1341" t="s">
        <v>391</v>
      </c>
      <c r="O5" s="1341"/>
      <c r="S5" s="983" t="s">
        <v>346</v>
      </c>
      <c r="T5" s="983"/>
      <c r="U5" s="992"/>
      <c r="V5" s="983"/>
      <c r="W5" s="984"/>
      <c r="X5" s="1025"/>
      <c r="Y5" s="1025"/>
      <c r="Z5" s="1025"/>
      <c r="AA5" s="1025"/>
      <c r="AB5" s="1025"/>
      <c r="AC5" s="1025"/>
      <c r="AD5" s="1025"/>
    </row>
    <row r="6" spans="1:31" ht="15.75" thickBot="1" x14ac:dyDescent="0.3">
      <c r="B6" s="151"/>
      <c r="C6" s="152" t="s">
        <v>62</v>
      </c>
      <c r="D6" s="65"/>
      <c r="E6" s="65"/>
      <c r="F6" s="65"/>
      <c r="H6" s="152"/>
      <c r="N6" s="349" t="s">
        <v>346</v>
      </c>
      <c r="O6" t="b">
        <f>N6=S5</f>
        <v>1</v>
      </c>
      <c r="S6" s="1336" t="s">
        <v>92</v>
      </c>
      <c r="T6" s="1026" t="s">
        <v>833</v>
      </c>
      <c r="W6" s="1044"/>
      <c r="X6" s="1025"/>
      <c r="Y6" s="1025"/>
      <c r="Z6" s="1025"/>
      <c r="AA6" s="1025"/>
      <c r="AB6" s="1025"/>
      <c r="AC6" s="1025"/>
      <c r="AD6" s="1025"/>
    </row>
    <row r="7" spans="1:31" x14ac:dyDescent="0.25">
      <c r="A7" s="137" t="s">
        <v>92</v>
      </c>
      <c r="B7" s="832" t="s">
        <v>92</v>
      </c>
      <c r="C7" s="832" t="s">
        <v>306</v>
      </c>
      <c r="D7" s="52">
        <f>Poeng!T10</f>
        <v>5</v>
      </c>
      <c r="E7" s="51"/>
      <c r="F7" s="52">
        <f>Poeng!AB10</f>
        <v>5</v>
      </c>
      <c r="H7" s="919">
        <f>SUMIF($R$7:$R$182,A7,$U$7:$U$182)</f>
        <v>0</v>
      </c>
      <c r="I7" s="365" t="str">
        <f>IF(F7=H7,"OK","FEIL")</f>
        <v>FEIL</v>
      </c>
      <c r="N7" s="353" t="s">
        <v>92</v>
      </c>
      <c r="O7" s="348" t="b">
        <f>N7=S6</f>
        <v>1</v>
      </c>
      <c r="R7" s="981" t="s">
        <v>711</v>
      </c>
      <c r="S7" s="1336"/>
      <c r="T7" s="1108" t="s">
        <v>590</v>
      </c>
      <c r="U7" s="1047">
        <v>1</v>
      </c>
      <c r="V7" s="1057" t="s">
        <v>347</v>
      </c>
      <c r="W7" s="1044"/>
      <c r="X7" s="1025"/>
      <c r="Y7" s="1025"/>
      <c r="Z7" s="1025"/>
      <c r="AA7" s="1025"/>
      <c r="AB7" s="1025"/>
      <c r="AC7" s="1025"/>
      <c r="AD7" s="1025"/>
    </row>
    <row r="8" spans="1:31" x14ac:dyDescent="0.25">
      <c r="A8" s="96" t="s">
        <v>711</v>
      </c>
      <c r="B8" s="167" t="s">
        <v>693</v>
      </c>
      <c r="C8" s="1107" t="s">
        <v>590</v>
      </c>
      <c r="D8" s="50">
        <f>Poeng!T16</f>
        <v>3</v>
      </c>
      <c r="E8" s="49"/>
      <c r="F8" s="52">
        <f>Poeng!AB16</f>
        <v>3</v>
      </c>
      <c r="H8" s="165">
        <f t="shared" ref="H8:H36" si="0">SUMIF($R$7:$R$182,A8,$U$7:$U$182)</f>
        <v>1</v>
      </c>
      <c r="I8" s="365" t="str">
        <f t="shared" ref="I8:I36" si="1">IF(F8=H8,"OK","FEIL")</f>
        <v>FEIL</v>
      </c>
      <c r="N8" s="353" t="s">
        <v>93</v>
      </c>
      <c r="O8" s="348" t="b">
        <f t="shared" ref="O8:O72" si="2">N8=S8</f>
        <v>0</v>
      </c>
      <c r="R8" t="s">
        <v>712</v>
      </c>
      <c r="S8" s="1336"/>
      <c r="T8" s="1109" t="s">
        <v>589</v>
      </c>
      <c r="U8" s="1047">
        <v>1</v>
      </c>
      <c r="V8" s="1057" t="s">
        <v>347</v>
      </c>
      <c r="W8" s="1044"/>
      <c r="X8" s="1025"/>
      <c r="Y8" s="1025"/>
      <c r="Z8" s="1025"/>
      <c r="AA8" s="1025"/>
      <c r="AB8" s="1025"/>
      <c r="AC8" s="1025"/>
      <c r="AD8" s="1025"/>
      <c r="AE8">
        <v>1</v>
      </c>
    </row>
    <row r="9" spans="1:31" x14ac:dyDescent="0.25">
      <c r="A9" s="96" t="s">
        <v>712</v>
      </c>
      <c r="B9" s="167" t="s">
        <v>696</v>
      </c>
      <c r="C9" s="1107" t="s">
        <v>589</v>
      </c>
      <c r="D9" s="50">
        <f>Poeng!T19</f>
        <v>7</v>
      </c>
      <c r="E9" s="49"/>
      <c r="F9" s="52">
        <f>Poeng!AB19</f>
        <v>7</v>
      </c>
      <c r="H9" s="165">
        <f t="shared" si="0"/>
        <v>1</v>
      </c>
      <c r="I9" s="365" t="str">
        <f t="shared" si="1"/>
        <v>FEIL</v>
      </c>
      <c r="K9" s="348"/>
      <c r="N9" s="353" t="s">
        <v>94</v>
      </c>
      <c r="O9" s="348" t="b">
        <f t="shared" si="2"/>
        <v>0</v>
      </c>
      <c r="R9" s="981" t="s">
        <v>713</v>
      </c>
      <c r="S9" s="1336"/>
      <c r="T9" s="1109" t="s">
        <v>586</v>
      </c>
      <c r="U9" s="1047">
        <v>1</v>
      </c>
      <c r="V9" s="1057" t="s">
        <v>347</v>
      </c>
      <c r="W9" s="1044"/>
      <c r="X9" s="1025"/>
      <c r="Y9" s="1025"/>
      <c r="Z9" s="1025"/>
      <c r="AA9" s="1025"/>
      <c r="AB9" s="1025"/>
      <c r="AC9" s="1025"/>
      <c r="AD9" s="1025"/>
      <c r="AE9">
        <v>2</v>
      </c>
    </row>
    <row r="10" spans="1:31" x14ac:dyDescent="0.25">
      <c r="A10" s="96" t="s">
        <v>713</v>
      </c>
      <c r="B10" s="167" t="s">
        <v>697</v>
      </c>
      <c r="C10" s="1107" t="s">
        <v>586</v>
      </c>
      <c r="D10" s="50">
        <f>Poeng!T26</f>
        <v>3</v>
      </c>
      <c r="E10" s="49"/>
      <c r="F10" s="52">
        <f>Poeng!AB26</f>
        <v>3</v>
      </c>
      <c r="H10" s="165">
        <f t="shared" si="0"/>
        <v>1</v>
      </c>
      <c r="I10" s="365" t="str">
        <f t="shared" si="1"/>
        <v>FEIL</v>
      </c>
      <c r="K10" s="348"/>
      <c r="N10" s="353" t="s">
        <v>95</v>
      </c>
      <c r="O10" s="348" t="b">
        <f t="shared" si="2"/>
        <v>0</v>
      </c>
      <c r="R10" s="981" t="s">
        <v>714</v>
      </c>
      <c r="S10" s="1336"/>
      <c r="T10" s="1109" t="s">
        <v>587</v>
      </c>
      <c r="U10" s="1047">
        <v>1</v>
      </c>
      <c r="V10" s="1057" t="s">
        <v>347</v>
      </c>
      <c r="W10" s="1044"/>
      <c r="X10" s="1025"/>
      <c r="Y10" s="1025"/>
      <c r="Z10" s="1025"/>
      <c r="AA10" s="1025"/>
      <c r="AB10" s="1025"/>
      <c r="AC10" s="1025"/>
      <c r="AD10" s="1025"/>
      <c r="AE10">
        <v>3</v>
      </c>
    </row>
    <row r="11" spans="1:31" ht="15" customHeight="1" x14ac:dyDescent="0.25">
      <c r="A11" s="96" t="s">
        <v>714</v>
      </c>
      <c r="B11" s="167" t="s">
        <v>695</v>
      </c>
      <c r="C11" s="1107" t="s">
        <v>587</v>
      </c>
      <c r="D11" s="50">
        <f>Poeng!T30</f>
        <v>3</v>
      </c>
      <c r="E11" s="49"/>
      <c r="F11" s="52">
        <f>Poeng!AB30</f>
        <v>3</v>
      </c>
      <c r="H11" s="165">
        <f t="shared" si="0"/>
        <v>1</v>
      </c>
      <c r="I11" s="365" t="str">
        <f t="shared" si="1"/>
        <v>FEIL</v>
      </c>
      <c r="K11" s="348"/>
      <c r="N11" s="353" t="s">
        <v>96</v>
      </c>
      <c r="O11" s="348" t="b">
        <f t="shared" si="2"/>
        <v>0</v>
      </c>
      <c r="R11" s="981" t="s">
        <v>715</v>
      </c>
      <c r="S11" s="1340"/>
      <c r="T11" s="1109" t="s">
        <v>588</v>
      </c>
      <c r="U11" s="1047">
        <v>2</v>
      </c>
      <c r="V11" s="1057" t="s">
        <v>347</v>
      </c>
      <c r="W11" s="1044"/>
      <c r="X11" s="1025"/>
      <c r="Y11" s="1025"/>
      <c r="Z11" s="1025"/>
      <c r="AA11" s="1025"/>
      <c r="AB11" s="1025"/>
      <c r="AC11" s="1025"/>
      <c r="AD11" s="1025"/>
      <c r="AE11" s="981">
        <v>4</v>
      </c>
    </row>
    <row r="12" spans="1:31" x14ac:dyDescent="0.25">
      <c r="A12" s="96" t="s">
        <v>715</v>
      </c>
      <c r="B12" s="167" t="s">
        <v>694</v>
      </c>
      <c r="C12" s="1107" t="s">
        <v>588</v>
      </c>
      <c r="D12" s="50">
        <f>Poeng!T34</f>
        <v>0</v>
      </c>
      <c r="E12" s="49"/>
      <c r="F12" s="52">
        <f>Poeng!AB34</f>
        <v>0</v>
      </c>
      <c r="H12" s="165">
        <f t="shared" si="0"/>
        <v>2</v>
      </c>
      <c r="I12" s="365" t="str">
        <f t="shared" si="1"/>
        <v>FEIL</v>
      </c>
      <c r="K12" s="348"/>
      <c r="N12" s="350"/>
      <c r="O12" s="348" t="b">
        <f t="shared" si="2"/>
        <v>0</v>
      </c>
      <c r="R12" s="981"/>
      <c r="S12" s="1332" t="s">
        <v>93</v>
      </c>
      <c r="T12" s="1110" t="s">
        <v>834</v>
      </c>
      <c r="U12" s="1054"/>
      <c r="V12" s="1028"/>
      <c r="W12" s="1044"/>
      <c r="X12" s="1025"/>
      <c r="Y12" s="1025"/>
      <c r="Z12" s="1025"/>
      <c r="AA12" s="1025"/>
      <c r="AB12" s="1025"/>
      <c r="AC12" s="1025"/>
      <c r="AD12" s="1025"/>
      <c r="AE12" s="981">
        <v>5</v>
      </c>
    </row>
    <row r="13" spans="1:31" ht="15.75" thickBot="1" x14ac:dyDescent="0.3">
      <c r="A13" s="137" t="s">
        <v>93</v>
      </c>
      <c r="B13" s="832" t="s">
        <v>93</v>
      </c>
      <c r="C13" s="832" t="s">
        <v>307</v>
      </c>
      <c r="D13" s="55">
        <f>Poeng!T35</f>
        <v>0</v>
      </c>
      <c r="E13" s="54"/>
      <c r="F13" s="52">
        <f>Poeng!AB35</f>
        <v>0</v>
      </c>
      <c r="H13" s="919">
        <f t="shared" si="0"/>
        <v>0</v>
      </c>
      <c r="I13" s="365" t="str">
        <f t="shared" si="1"/>
        <v>OK</v>
      </c>
      <c r="K13" s="348"/>
      <c r="N13" s="351" t="s">
        <v>351</v>
      </c>
      <c r="O13" s="348" t="b">
        <f t="shared" si="2"/>
        <v>0</v>
      </c>
      <c r="R13" s="981" t="s">
        <v>716</v>
      </c>
      <c r="S13" s="1333"/>
      <c r="T13" s="1109" t="s">
        <v>591</v>
      </c>
      <c r="U13" s="1048">
        <v>2</v>
      </c>
      <c r="V13" s="1057" t="s">
        <v>347</v>
      </c>
      <c r="W13" s="1044"/>
      <c r="X13" s="1025"/>
      <c r="Y13" s="1025"/>
      <c r="Z13" s="1025"/>
      <c r="AA13" s="1025"/>
      <c r="AB13" s="1025"/>
      <c r="AC13" s="1025"/>
      <c r="AD13" s="1025"/>
      <c r="AE13" s="981">
        <v>6</v>
      </c>
    </row>
    <row r="14" spans="1:31" ht="15.75" thickBot="1" x14ac:dyDescent="0.3">
      <c r="A14" s="96" t="s">
        <v>716</v>
      </c>
      <c r="B14" s="167" t="s">
        <v>693</v>
      </c>
      <c r="C14" s="1107" t="s">
        <v>591</v>
      </c>
      <c r="D14" s="56">
        <f>Poeng!T36</f>
        <v>21</v>
      </c>
      <c r="E14" s="56"/>
      <c r="F14" s="56">
        <f>SUM(F7:F13)</f>
        <v>21</v>
      </c>
      <c r="H14" s="165">
        <f t="shared" si="0"/>
        <v>2</v>
      </c>
      <c r="I14" s="365" t="str">
        <f t="shared" si="1"/>
        <v>FEIL</v>
      </c>
      <c r="K14" s="348"/>
      <c r="N14" s="356" t="s">
        <v>117</v>
      </c>
      <c r="O14" s="348" t="b">
        <f t="shared" si="2"/>
        <v>0</v>
      </c>
      <c r="R14" s="981" t="s">
        <v>717</v>
      </c>
      <c r="S14" s="1334"/>
      <c r="T14" s="1109" t="s">
        <v>592</v>
      </c>
      <c r="U14" s="1048">
        <v>1</v>
      </c>
      <c r="V14" s="1057" t="s">
        <v>347</v>
      </c>
      <c r="W14" s="1044"/>
      <c r="X14" s="1025"/>
      <c r="Y14" s="1025"/>
      <c r="Z14" s="1025"/>
      <c r="AA14" s="1025"/>
      <c r="AB14" s="1025"/>
      <c r="AC14" s="1025"/>
      <c r="AD14" s="1025"/>
      <c r="AE14" s="981">
        <v>7</v>
      </c>
    </row>
    <row r="15" spans="1:31" ht="15.75" thickBot="1" x14ac:dyDescent="0.3">
      <c r="A15" s="96" t="s">
        <v>717</v>
      </c>
      <c r="B15" s="167" t="s">
        <v>696</v>
      </c>
      <c r="C15" s="1107" t="s">
        <v>592</v>
      </c>
      <c r="D15" s="30"/>
      <c r="E15" s="30"/>
      <c r="H15" s="165">
        <f t="shared" si="0"/>
        <v>1</v>
      </c>
      <c r="I15" s="365" t="str">
        <f t="shared" si="1"/>
        <v>FEIL</v>
      </c>
      <c r="K15" s="348"/>
      <c r="N15" s="357"/>
      <c r="O15" s="348" t="b">
        <f t="shared" si="2"/>
        <v>0</v>
      </c>
      <c r="R15" s="981"/>
      <c r="S15" s="1332" t="s">
        <v>94</v>
      </c>
      <c r="T15" s="1026" t="s">
        <v>348</v>
      </c>
      <c r="U15" s="1054"/>
      <c r="V15" s="1028"/>
      <c r="W15" s="1044"/>
      <c r="X15" s="981"/>
      <c r="Y15" s="981"/>
      <c r="Z15" s="981"/>
      <c r="AA15" s="981"/>
      <c r="AB15" s="981"/>
      <c r="AC15" s="981"/>
      <c r="AD15" s="981"/>
      <c r="AE15" s="981">
        <v>8</v>
      </c>
    </row>
    <row r="16" spans="1:31" ht="15.75" thickBot="1" x14ac:dyDescent="0.3">
      <c r="A16" s="137" t="s">
        <v>94</v>
      </c>
      <c r="B16" s="832" t="s">
        <v>94</v>
      </c>
      <c r="C16" s="832" t="s">
        <v>308</v>
      </c>
      <c r="D16" s="53"/>
      <c r="E16" s="53"/>
      <c r="F16" s="53"/>
      <c r="H16" s="919">
        <f t="shared" si="0"/>
        <v>0</v>
      </c>
      <c r="I16" s="365" t="str">
        <f t="shared" si="1"/>
        <v>OK</v>
      </c>
      <c r="K16" s="348"/>
      <c r="N16" s="358"/>
      <c r="O16" s="348" t="b">
        <f t="shared" si="2"/>
        <v>1</v>
      </c>
      <c r="R16" s="981" t="s">
        <v>718</v>
      </c>
      <c r="S16" s="1333"/>
      <c r="T16" s="988" t="s">
        <v>593</v>
      </c>
      <c r="U16" s="1047">
        <v>1</v>
      </c>
      <c r="V16" s="1057" t="s">
        <v>347</v>
      </c>
      <c r="W16" s="1044"/>
      <c r="X16" s="981"/>
      <c r="Y16" s="981"/>
      <c r="Z16" s="981"/>
      <c r="AA16" s="981"/>
      <c r="AB16" s="981"/>
      <c r="AC16" s="981"/>
      <c r="AD16" s="981"/>
      <c r="AE16" s="981">
        <v>9</v>
      </c>
    </row>
    <row r="17" spans="1:31" x14ac:dyDescent="0.25">
      <c r="A17" s="96" t="s">
        <v>718</v>
      </c>
      <c r="B17" s="167" t="s">
        <v>693</v>
      </c>
      <c r="C17" s="917" t="s">
        <v>593</v>
      </c>
      <c r="D17" s="52">
        <f>Poeng!T39</f>
        <v>7</v>
      </c>
      <c r="E17" s="51"/>
      <c r="F17" s="52">
        <f>Poeng!AB39</f>
        <v>7</v>
      </c>
      <c r="H17" s="165">
        <f t="shared" si="0"/>
        <v>1</v>
      </c>
      <c r="I17" s="365" t="str">
        <f t="shared" si="1"/>
        <v>FEIL</v>
      </c>
      <c r="K17" s="348"/>
      <c r="N17" s="356" t="s">
        <v>118</v>
      </c>
      <c r="O17" s="348" t="b">
        <f t="shared" si="2"/>
        <v>0</v>
      </c>
      <c r="R17" s="981" t="s">
        <v>719</v>
      </c>
      <c r="S17" s="1333"/>
      <c r="T17" s="988" t="s">
        <v>594</v>
      </c>
      <c r="U17" s="1047">
        <v>1</v>
      </c>
      <c r="V17" s="1057" t="s">
        <v>347</v>
      </c>
      <c r="W17" s="1044"/>
      <c r="X17" s="981"/>
      <c r="Y17" s="981"/>
      <c r="Z17" s="981"/>
      <c r="AA17" s="981"/>
      <c r="AB17" s="981"/>
      <c r="AC17" s="981"/>
      <c r="AD17" s="981"/>
      <c r="AE17" s="981">
        <v>10</v>
      </c>
    </row>
    <row r="18" spans="1:31" x14ac:dyDescent="0.25">
      <c r="A18" s="96" t="s">
        <v>719</v>
      </c>
      <c r="B18" s="167" t="s">
        <v>696</v>
      </c>
      <c r="C18" s="917" t="s">
        <v>594</v>
      </c>
      <c r="D18" s="50">
        <f>Poeng!T46</f>
        <v>4</v>
      </c>
      <c r="E18" s="49"/>
      <c r="F18" s="52">
        <f>Poeng!AB46</f>
        <v>4</v>
      </c>
      <c r="H18" s="165">
        <f t="shared" si="0"/>
        <v>1</v>
      </c>
      <c r="I18" s="365" t="str">
        <f t="shared" si="1"/>
        <v>FEIL</v>
      </c>
      <c r="K18" s="348"/>
      <c r="N18" s="357"/>
      <c r="O18" s="348" t="b">
        <f t="shared" si="2"/>
        <v>1</v>
      </c>
      <c r="R18" s="981" t="s">
        <v>720</v>
      </c>
      <c r="S18" s="1333"/>
      <c r="T18" s="988" t="s">
        <v>595</v>
      </c>
      <c r="U18" s="1047">
        <v>2</v>
      </c>
      <c r="V18" s="1057" t="s">
        <v>347</v>
      </c>
      <c r="W18" s="1044"/>
      <c r="X18" s="981"/>
      <c r="Y18" s="981"/>
      <c r="Z18" s="981"/>
      <c r="AA18" s="981"/>
      <c r="AB18" s="981"/>
      <c r="AC18" s="981"/>
      <c r="AD18" s="981"/>
      <c r="AE18" s="981">
        <v>11</v>
      </c>
    </row>
    <row r="19" spans="1:31" x14ac:dyDescent="0.25">
      <c r="A19" s="96" t="s">
        <v>720</v>
      </c>
      <c r="B19" s="167" t="s">
        <v>697</v>
      </c>
      <c r="C19" s="1011" t="s">
        <v>912</v>
      </c>
      <c r="D19" s="50">
        <f>Poeng!T51</f>
        <v>3</v>
      </c>
      <c r="E19" s="49"/>
      <c r="F19" s="52">
        <f>Poeng!AB51</f>
        <v>3</v>
      </c>
      <c r="H19" s="1037">
        <f>IF(SUMIF($R$7:$R$182,A19,$U$7:$U$182)=2,1,SUMIF($R$7:$R$182,A19,$U$7:$U$182))</f>
        <v>1</v>
      </c>
      <c r="I19" s="365" t="str">
        <f t="shared" si="1"/>
        <v>FEIL</v>
      </c>
      <c r="J19" s="1039" t="s">
        <v>944</v>
      </c>
      <c r="K19" s="348"/>
      <c r="N19" s="358"/>
      <c r="O19" s="348" t="b">
        <f t="shared" si="2"/>
        <v>1</v>
      </c>
      <c r="R19" s="981" t="s">
        <v>910</v>
      </c>
      <c r="S19" s="1334"/>
      <c r="T19" s="988" t="s">
        <v>596</v>
      </c>
      <c r="U19" s="1047">
        <v>3</v>
      </c>
      <c r="V19" s="1057" t="s">
        <v>347</v>
      </c>
      <c r="W19" s="1044"/>
      <c r="AE19" s="981">
        <v>12</v>
      </c>
    </row>
    <row r="20" spans="1:31" ht="15" customHeight="1" x14ac:dyDescent="0.25">
      <c r="A20" s="96" t="s">
        <v>721</v>
      </c>
      <c r="B20" s="167" t="s">
        <v>695</v>
      </c>
      <c r="C20" s="1011" t="s">
        <v>913</v>
      </c>
      <c r="D20" s="50">
        <f>Poeng!T55</f>
        <v>0</v>
      </c>
      <c r="E20" s="49"/>
      <c r="F20" s="52">
        <f>Poeng!AB55</f>
        <v>0</v>
      </c>
      <c r="H20" s="1037">
        <f>IF(SUMIF($R$7:$R$182,A19,$U$7:$U$182)=2,1,0)</f>
        <v>1</v>
      </c>
      <c r="I20" s="365" t="str">
        <f t="shared" si="1"/>
        <v>FEIL</v>
      </c>
      <c r="J20" s="1039" t="s">
        <v>944</v>
      </c>
      <c r="K20" s="348"/>
      <c r="N20" s="354" t="s">
        <v>119</v>
      </c>
      <c r="O20" s="348" t="b">
        <f t="shared" si="2"/>
        <v>0</v>
      </c>
      <c r="R20" s="981"/>
      <c r="S20" s="1332" t="s">
        <v>95</v>
      </c>
      <c r="T20" s="1026" t="s">
        <v>349</v>
      </c>
      <c r="U20" s="1054"/>
      <c r="V20" s="1028"/>
      <c r="W20" s="1044"/>
      <c r="AE20" s="981">
        <v>13</v>
      </c>
    </row>
    <row r="21" spans="1:31" x14ac:dyDescent="0.25">
      <c r="A21" s="96" t="s">
        <v>910</v>
      </c>
      <c r="B21" s="167" t="s">
        <v>694</v>
      </c>
      <c r="C21" s="1011" t="s">
        <v>914</v>
      </c>
      <c r="D21" s="50">
        <f>Poeng!T56</f>
        <v>3</v>
      </c>
      <c r="E21" s="49"/>
      <c r="F21" s="52">
        <f>Poeng!AB56</f>
        <v>3</v>
      </c>
      <c r="H21" s="1037">
        <f>IF(SUMIF($R$7:$R$182,A21,$U$7:$U$182)=3,1,SUMIF($R$7:$R$182,A21,$U$7:$U$182))</f>
        <v>1</v>
      </c>
      <c r="I21" s="365" t="str">
        <f t="shared" si="1"/>
        <v>FEIL</v>
      </c>
      <c r="J21" t="s">
        <v>944</v>
      </c>
      <c r="K21" s="348"/>
      <c r="N21" s="354" t="s">
        <v>120</v>
      </c>
      <c r="O21" s="348" t="b">
        <f t="shared" si="2"/>
        <v>0</v>
      </c>
      <c r="R21" s="981" t="s">
        <v>722</v>
      </c>
      <c r="S21" s="1333"/>
      <c r="T21" s="988" t="s">
        <v>597</v>
      </c>
      <c r="U21" s="1047">
        <v>1</v>
      </c>
      <c r="V21" s="1057" t="s">
        <v>347</v>
      </c>
      <c r="W21" s="1044"/>
      <c r="AE21" s="981">
        <v>14</v>
      </c>
    </row>
    <row r="22" spans="1:31" ht="48.75" customHeight="1" x14ac:dyDescent="0.25">
      <c r="A22" s="96" t="s">
        <v>911</v>
      </c>
      <c r="B22" s="167" t="s">
        <v>909</v>
      </c>
      <c r="C22" s="1011" t="s">
        <v>915</v>
      </c>
      <c r="D22" s="50">
        <f>Poeng!T59</f>
        <v>2</v>
      </c>
      <c r="E22" s="49"/>
      <c r="F22" s="52">
        <f>Poeng!AB59</f>
        <v>2</v>
      </c>
      <c r="H22" s="1037">
        <f>IF(SUMIF($R$7:$R$182,A21,$U$7:$U$182)=3,2,0)</f>
        <v>2</v>
      </c>
      <c r="I22" s="365" t="str">
        <f t="shared" si="1"/>
        <v>OK</v>
      </c>
      <c r="J22" s="1039" t="s">
        <v>944</v>
      </c>
      <c r="K22" s="348"/>
      <c r="N22" s="354" t="s">
        <v>121</v>
      </c>
      <c r="O22" s="348" t="b">
        <f t="shared" si="2"/>
        <v>0</v>
      </c>
      <c r="R22" s="981" t="s">
        <v>723</v>
      </c>
      <c r="S22" s="1333"/>
      <c r="T22" s="988" t="s">
        <v>598</v>
      </c>
      <c r="U22" s="1047">
        <v>1</v>
      </c>
      <c r="V22" s="1057" t="s">
        <v>347</v>
      </c>
      <c r="W22" s="1044"/>
      <c r="AE22" s="981">
        <v>15</v>
      </c>
    </row>
    <row r="23" spans="1:31" ht="15" customHeight="1" x14ac:dyDescent="0.25">
      <c r="A23" s="137" t="s">
        <v>95</v>
      </c>
      <c r="B23" s="832" t="s">
        <v>95</v>
      </c>
      <c r="C23" s="832" t="s">
        <v>396</v>
      </c>
      <c r="D23" s="67">
        <f>Poeng!T62</f>
        <v>0</v>
      </c>
      <c r="E23" s="49"/>
      <c r="F23" s="366">
        <f>Poeng!AB62</f>
        <v>0</v>
      </c>
      <c r="H23" s="919">
        <f t="shared" si="0"/>
        <v>0</v>
      </c>
      <c r="I23" s="365" t="str">
        <f t="shared" si="1"/>
        <v>OK</v>
      </c>
      <c r="K23" s="348"/>
      <c r="N23" s="354" t="s">
        <v>122</v>
      </c>
      <c r="O23" s="348" t="b">
        <f t="shared" si="2"/>
        <v>0</v>
      </c>
      <c r="R23" s="981" t="s">
        <v>724</v>
      </c>
      <c r="S23" s="1334"/>
      <c r="T23" s="988" t="s">
        <v>599</v>
      </c>
      <c r="U23" s="1047">
        <v>1</v>
      </c>
      <c r="V23" s="1057" t="s">
        <v>347</v>
      </c>
      <c r="W23" s="1044"/>
      <c r="AE23" s="981">
        <v>16</v>
      </c>
    </row>
    <row r="24" spans="1:31" x14ac:dyDescent="0.25">
      <c r="A24" s="96" t="s">
        <v>722</v>
      </c>
      <c r="B24" s="167" t="s">
        <v>693</v>
      </c>
      <c r="C24" s="917" t="s">
        <v>597</v>
      </c>
      <c r="D24" s="50">
        <f>Poeng!T63</f>
        <v>0</v>
      </c>
      <c r="E24" s="49"/>
      <c r="F24" s="52">
        <f>Poeng!AB63</f>
        <v>0</v>
      </c>
      <c r="H24" s="165">
        <f t="shared" si="0"/>
        <v>1</v>
      </c>
      <c r="I24" s="365" t="str">
        <f t="shared" si="1"/>
        <v>FEIL</v>
      </c>
      <c r="K24" s="348"/>
      <c r="N24" s="354" t="s">
        <v>123</v>
      </c>
      <c r="O24" s="348" t="b">
        <f t="shared" si="2"/>
        <v>0</v>
      </c>
      <c r="R24" s="981"/>
      <c r="S24" s="1335" t="s">
        <v>96</v>
      </c>
      <c r="T24" s="1027" t="s">
        <v>350</v>
      </c>
      <c r="U24" s="1054"/>
      <c r="V24" s="1028"/>
      <c r="W24" s="1044"/>
      <c r="AE24" s="981">
        <v>17</v>
      </c>
    </row>
    <row r="25" spans="1:31" ht="73.5" customHeight="1" thickBot="1" x14ac:dyDescent="0.3">
      <c r="A25" s="96" t="s">
        <v>723</v>
      </c>
      <c r="B25" s="167" t="s">
        <v>696</v>
      </c>
      <c r="C25" s="917" t="s">
        <v>598</v>
      </c>
      <c r="D25" s="55">
        <f>Poeng!T65</f>
        <v>0</v>
      </c>
      <c r="E25" s="54"/>
      <c r="F25" s="52">
        <f>Poeng!AB65</f>
        <v>0</v>
      </c>
      <c r="H25" s="165">
        <f t="shared" si="0"/>
        <v>1</v>
      </c>
      <c r="I25" s="365" t="str">
        <f t="shared" si="1"/>
        <v>FEIL</v>
      </c>
      <c r="N25" s="354" t="s">
        <v>124</v>
      </c>
      <c r="O25" s="348" t="b">
        <f t="shared" si="2"/>
        <v>0</v>
      </c>
      <c r="R25" s="981" t="s">
        <v>725</v>
      </c>
      <c r="S25" s="1336"/>
      <c r="T25" s="988" t="s">
        <v>600</v>
      </c>
      <c r="U25" s="1047">
        <v>1</v>
      </c>
      <c r="V25" s="1057" t="s">
        <v>347</v>
      </c>
      <c r="W25" s="1044"/>
      <c r="AE25" s="981">
        <v>18</v>
      </c>
    </row>
    <row r="26" spans="1:31" ht="15.75" thickBot="1" x14ac:dyDescent="0.3">
      <c r="A26" s="96" t="s">
        <v>724</v>
      </c>
      <c r="B26" s="167" t="s">
        <v>697</v>
      </c>
      <c r="C26" s="917" t="s">
        <v>599</v>
      </c>
      <c r="D26" s="56">
        <f>Poeng!T66</f>
        <v>19</v>
      </c>
      <c r="E26" s="56"/>
      <c r="F26" s="56">
        <f>SUM(F17:F25)</f>
        <v>19</v>
      </c>
      <c r="H26" s="165">
        <f t="shared" si="0"/>
        <v>1</v>
      </c>
      <c r="I26" s="365" t="str">
        <f t="shared" si="1"/>
        <v>FEIL</v>
      </c>
      <c r="N26" s="354" t="s">
        <v>125</v>
      </c>
      <c r="O26" s="348" t="b">
        <f t="shared" si="2"/>
        <v>0</v>
      </c>
      <c r="R26" s="981" t="s">
        <v>726</v>
      </c>
      <c r="S26" s="1336"/>
      <c r="T26" s="988" t="s">
        <v>601</v>
      </c>
      <c r="U26" s="1047">
        <v>1</v>
      </c>
      <c r="V26" s="1057" t="s">
        <v>347</v>
      </c>
      <c r="W26" s="1044"/>
      <c r="AE26" s="981">
        <v>19</v>
      </c>
    </row>
    <row r="27" spans="1:31" ht="15.75" thickBot="1" x14ac:dyDescent="0.3">
      <c r="A27" s="137" t="s">
        <v>96</v>
      </c>
      <c r="B27" s="832" t="s">
        <v>96</v>
      </c>
      <c r="C27" s="832" t="s">
        <v>309</v>
      </c>
      <c r="D27" s="30"/>
      <c r="E27" s="30"/>
      <c r="H27" s="919">
        <f t="shared" si="0"/>
        <v>0</v>
      </c>
      <c r="I27" s="365" t="str">
        <f t="shared" si="1"/>
        <v>OK</v>
      </c>
      <c r="N27" s="350"/>
      <c r="O27" s="348" t="b">
        <f t="shared" si="2"/>
        <v>1</v>
      </c>
      <c r="R27" s="981" t="s">
        <v>727</v>
      </c>
      <c r="S27" s="1336"/>
      <c r="T27" s="988" t="s">
        <v>602</v>
      </c>
      <c r="U27" s="1047">
        <v>1</v>
      </c>
      <c r="V27" s="1057" t="s">
        <v>347</v>
      </c>
      <c r="W27" s="1044"/>
      <c r="AE27" s="981">
        <v>20</v>
      </c>
    </row>
    <row r="28" spans="1:31" ht="15.75" thickBot="1" x14ac:dyDescent="0.3">
      <c r="A28" s="96" t="s">
        <v>725</v>
      </c>
      <c r="B28" s="167" t="s">
        <v>693</v>
      </c>
      <c r="C28" s="917" t="s">
        <v>600</v>
      </c>
      <c r="D28" s="53"/>
      <c r="E28" s="53"/>
      <c r="F28" s="53"/>
      <c r="H28" s="165">
        <f t="shared" si="0"/>
        <v>1</v>
      </c>
      <c r="I28" s="365" t="str">
        <f t="shared" si="1"/>
        <v>FEIL</v>
      </c>
      <c r="N28" s="351" t="s">
        <v>354</v>
      </c>
      <c r="O28" s="348" t="b">
        <f t="shared" si="2"/>
        <v>0</v>
      </c>
      <c r="R28" s="981"/>
      <c r="S28" s="986" t="s">
        <v>351</v>
      </c>
      <c r="T28" s="985"/>
      <c r="U28" s="1045"/>
      <c r="V28" s="1046"/>
      <c r="W28" s="1044"/>
      <c r="AE28" s="981">
        <v>21</v>
      </c>
    </row>
    <row r="29" spans="1:31" x14ac:dyDescent="0.25">
      <c r="A29" s="96" t="s">
        <v>726</v>
      </c>
      <c r="B29" s="167" t="s">
        <v>696</v>
      </c>
      <c r="C29" s="917" t="s">
        <v>601</v>
      </c>
      <c r="D29" s="52">
        <f>Poeng!T69</f>
        <v>12</v>
      </c>
      <c r="E29" s="51"/>
      <c r="F29" s="52">
        <f>Poeng!AB69</f>
        <v>12</v>
      </c>
      <c r="H29" s="165">
        <f t="shared" si="0"/>
        <v>1</v>
      </c>
      <c r="I29" s="365" t="str">
        <f t="shared" si="1"/>
        <v>FEIL</v>
      </c>
      <c r="N29" s="354" t="s">
        <v>135</v>
      </c>
      <c r="O29" s="348" t="b">
        <f t="shared" si="2"/>
        <v>0</v>
      </c>
      <c r="R29" s="981"/>
      <c r="S29" s="1326" t="s">
        <v>117</v>
      </c>
      <c r="T29" s="1029" t="s">
        <v>835</v>
      </c>
      <c r="U29" s="1055"/>
      <c r="V29" s="1030"/>
      <c r="W29" s="1044"/>
      <c r="AE29" s="981">
        <v>22</v>
      </c>
    </row>
    <row r="30" spans="1:31" x14ac:dyDescent="0.25">
      <c r="A30" s="96" t="s">
        <v>727</v>
      </c>
      <c r="B30" s="167" t="s">
        <v>697</v>
      </c>
      <c r="C30" s="917" t="s">
        <v>602</v>
      </c>
      <c r="D30" s="50">
        <f>Poeng!T75</f>
        <v>2</v>
      </c>
      <c r="E30" s="49"/>
      <c r="F30" s="52">
        <f>Poeng!AB75</f>
        <v>2</v>
      </c>
      <c r="H30" s="165">
        <f t="shared" si="0"/>
        <v>1</v>
      </c>
      <c r="I30" s="365" t="str">
        <f t="shared" si="1"/>
        <v>FEIL</v>
      </c>
      <c r="N30" s="354" t="s">
        <v>253</v>
      </c>
      <c r="O30" s="348" t="b">
        <f t="shared" si="2"/>
        <v>0</v>
      </c>
      <c r="R30" s="981" t="s">
        <v>729</v>
      </c>
      <c r="S30" s="1327"/>
      <c r="T30" s="990" t="s">
        <v>603</v>
      </c>
      <c r="U30" s="1049">
        <v>3</v>
      </c>
      <c r="V30" s="1058" t="s">
        <v>347</v>
      </c>
      <c r="W30" s="1044"/>
      <c r="AE30" s="981">
        <v>23</v>
      </c>
    </row>
    <row r="31" spans="1:31" x14ac:dyDescent="0.25">
      <c r="A31" s="96"/>
      <c r="B31" s="700" t="s">
        <v>97</v>
      </c>
      <c r="C31" s="700"/>
      <c r="D31" s="50">
        <f>Poeng!T79</f>
        <v>1</v>
      </c>
      <c r="E31" s="49"/>
      <c r="F31" s="52">
        <f>Poeng!AB79</f>
        <v>1</v>
      </c>
      <c r="H31" s="954">
        <f t="shared" si="0"/>
        <v>0</v>
      </c>
      <c r="I31" s="365" t="str">
        <f t="shared" si="1"/>
        <v>FEIL</v>
      </c>
      <c r="N31" s="354" t="s">
        <v>355</v>
      </c>
      <c r="O31" s="348" t="b">
        <f t="shared" si="2"/>
        <v>0</v>
      </c>
      <c r="R31" s="981" t="s">
        <v>730</v>
      </c>
      <c r="S31" s="1327"/>
      <c r="T31" s="990" t="s">
        <v>604</v>
      </c>
      <c r="U31" s="1050">
        <v>1</v>
      </c>
      <c r="V31" s="1059" t="s">
        <v>347</v>
      </c>
      <c r="W31" s="1044"/>
      <c r="AE31" s="981">
        <v>24</v>
      </c>
    </row>
    <row r="32" spans="1:31" ht="15.75" customHeight="1" thickBot="1" x14ac:dyDescent="0.3">
      <c r="A32" s="96"/>
      <c r="B32" s="700" t="s">
        <v>98</v>
      </c>
      <c r="C32" s="700"/>
      <c r="D32" s="50">
        <f>Poeng!T82</f>
        <v>0</v>
      </c>
      <c r="E32" s="49"/>
      <c r="F32" s="52">
        <f>Poeng!AB82</f>
        <v>0</v>
      </c>
      <c r="H32" s="954">
        <f t="shared" si="0"/>
        <v>0</v>
      </c>
      <c r="I32" s="365" t="str">
        <f t="shared" si="1"/>
        <v>OK</v>
      </c>
      <c r="N32" s="354" t="s">
        <v>137</v>
      </c>
      <c r="O32" s="348" t="b">
        <f t="shared" si="2"/>
        <v>0</v>
      </c>
      <c r="R32" s="981" t="s">
        <v>731</v>
      </c>
      <c r="S32" s="1327"/>
      <c r="T32" s="990" t="s">
        <v>605</v>
      </c>
      <c r="U32" s="1050">
        <v>1</v>
      </c>
      <c r="V32" s="1059" t="s">
        <v>347</v>
      </c>
      <c r="W32" s="1044"/>
      <c r="AE32" s="981">
        <v>25</v>
      </c>
    </row>
    <row r="33" spans="1:31" ht="15.75" thickBot="1" x14ac:dyDescent="0.3">
      <c r="A33" s="96" t="s">
        <v>882</v>
      </c>
      <c r="B33" s="711"/>
      <c r="C33" s="710" t="s">
        <v>214</v>
      </c>
      <c r="D33" s="50">
        <f>Poeng!T83</f>
        <v>2</v>
      </c>
      <c r="E33" s="49"/>
      <c r="F33" s="52">
        <f>Poeng!AB83</f>
        <v>2</v>
      </c>
      <c r="H33" s="203">
        <f t="shared" si="0"/>
        <v>0</v>
      </c>
      <c r="I33" s="365" t="str">
        <f t="shared" si="1"/>
        <v>FEIL</v>
      </c>
      <c r="N33" s="354" t="s">
        <v>138</v>
      </c>
      <c r="O33" s="348" t="b">
        <f t="shared" si="2"/>
        <v>0</v>
      </c>
      <c r="R33" s="981" t="s">
        <v>732</v>
      </c>
      <c r="S33" s="1327"/>
      <c r="T33" s="990" t="s">
        <v>606</v>
      </c>
      <c r="U33" s="1050">
        <v>1</v>
      </c>
      <c r="V33" s="1059" t="s">
        <v>347</v>
      </c>
      <c r="W33" s="1044"/>
      <c r="AE33" s="981">
        <v>26</v>
      </c>
    </row>
    <row r="34" spans="1:31" ht="15.75" thickBot="1" x14ac:dyDescent="0.3">
      <c r="A34" s="96"/>
      <c r="B34" s="96"/>
      <c r="C34" s="96"/>
      <c r="D34" s="50">
        <f>Poeng!T86</f>
        <v>3</v>
      </c>
      <c r="E34" s="49"/>
      <c r="F34" s="52">
        <f>Poeng!AB86</f>
        <v>3</v>
      </c>
      <c r="H34" s="96">
        <f t="shared" si="0"/>
        <v>0</v>
      </c>
      <c r="I34" s="365" t="str">
        <f t="shared" si="1"/>
        <v>FEIL</v>
      </c>
      <c r="N34" s="354" t="s">
        <v>139</v>
      </c>
      <c r="O34" s="348" t="b">
        <f t="shared" si="2"/>
        <v>0</v>
      </c>
      <c r="R34" s="981" t="s">
        <v>956</v>
      </c>
      <c r="S34" s="1328"/>
      <c r="T34" s="990" t="s">
        <v>607</v>
      </c>
      <c r="U34" s="1047">
        <v>1</v>
      </c>
      <c r="V34" s="1058" t="s">
        <v>347</v>
      </c>
      <c r="W34" s="1044"/>
      <c r="AE34" s="981">
        <v>27</v>
      </c>
    </row>
    <row r="35" spans="1:31" ht="15.75" thickBot="1" x14ac:dyDescent="0.3">
      <c r="A35" s="96"/>
      <c r="B35" s="145"/>
      <c r="C35" s="146" t="s">
        <v>65</v>
      </c>
      <c r="D35" s="50">
        <f>Poeng!T90</f>
        <v>5</v>
      </c>
      <c r="E35" s="49"/>
      <c r="F35" s="52">
        <f>Poeng!AB90</f>
        <v>5</v>
      </c>
      <c r="H35" s="138">
        <f t="shared" si="0"/>
        <v>0</v>
      </c>
      <c r="I35" s="365" t="str">
        <f t="shared" si="1"/>
        <v>FEIL</v>
      </c>
      <c r="N35" s="354" t="s">
        <v>140</v>
      </c>
      <c r="O35" s="348" t="b">
        <f t="shared" si="2"/>
        <v>0</v>
      </c>
      <c r="R35" s="981"/>
      <c r="S35" s="1326" t="s">
        <v>118</v>
      </c>
      <c r="T35" s="1029" t="s">
        <v>836</v>
      </c>
      <c r="U35" s="1055"/>
      <c r="V35" s="1030"/>
      <c r="W35" s="1044"/>
      <c r="AE35" s="981">
        <v>28</v>
      </c>
    </row>
    <row r="36" spans="1:31" x14ac:dyDescent="0.25">
      <c r="A36" s="137" t="s">
        <v>117</v>
      </c>
      <c r="B36" s="833" t="s">
        <v>117</v>
      </c>
      <c r="C36" s="831" t="s">
        <v>115</v>
      </c>
      <c r="D36" s="50">
        <f>Poeng!T93</f>
        <v>2</v>
      </c>
      <c r="E36" s="49"/>
      <c r="F36" s="52">
        <f>Poeng!AB93</f>
        <v>2</v>
      </c>
      <c r="H36" s="961">
        <f t="shared" si="0"/>
        <v>0</v>
      </c>
      <c r="I36" s="365" t="str">
        <f t="shared" si="1"/>
        <v>FEIL</v>
      </c>
      <c r="N36" s="354" t="s">
        <v>141</v>
      </c>
      <c r="O36" s="348" t="b">
        <f t="shared" si="2"/>
        <v>0</v>
      </c>
      <c r="R36" s="981" t="s">
        <v>734</v>
      </c>
      <c r="S36" s="1327"/>
      <c r="T36" s="990" t="s">
        <v>609</v>
      </c>
      <c r="U36" s="1047">
        <v>1</v>
      </c>
      <c r="V36" s="1058"/>
      <c r="W36" s="1044"/>
      <c r="AE36" s="981">
        <v>29</v>
      </c>
    </row>
    <row r="37" spans="1:31" ht="15.75" customHeight="1" x14ac:dyDescent="0.25">
      <c r="A37" t="s">
        <v>728</v>
      </c>
      <c r="B37" s="367" t="s">
        <v>693</v>
      </c>
      <c r="N37" s="354" t="s">
        <v>142</v>
      </c>
      <c r="O37" s="348" t="b">
        <f t="shared" si="2"/>
        <v>0</v>
      </c>
      <c r="R37" s="981" t="s">
        <v>735</v>
      </c>
      <c r="S37" s="1327"/>
      <c r="T37" s="989" t="s">
        <v>610</v>
      </c>
      <c r="U37" s="1047">
        <v>2</v>
      </c>
      <c r="V37" s="1058" t="s">
        <v>347</v>
      </c>
      <c r="W37" s="1044"/>
      <c r="AE37" s="981">
        <v>30</v>
      </c>
    </row>
    <row r="38" spans="1:31" ht="15.75" customHeight="1" x14ac:dyDescent="0.25">
      <c r="A38" s="96" t="s">
        <v>729</v>
      </c>
      <c r="B38" s="163" t="s">
        <v>696</v>
      </c>
      <c r="C38" s="917" t="s">
        <v>603</v>
      </c>
      <c r="D38" s="50">
        <f>Poeng!T95</f>
        <v>0</v>
      </c>
      <c r="E38" s="49"/>
      <c r="F38" s="52">
        <f>Poeng!AB95</f>
        <v>0</v>
      </c>
      <c r="H38" s="212">
        <f>SUMIF($R$7:$R$182,A38,$U$7:$U$182)</f>
        <v>3</v>
      </c>
      <c r="I38" s="365" t="str">
        <f t="shared" ref="I38:I74" si="3">IF(F38=H38,"OK","FEIL")</f>
        <v>FEIL</v>
      </c>
      <c r="N38" s="354" t="s">
        <v>143</v>
      </c>
      <c r="O38" s="348" t="b">
        <f t="shared" si="2"/>
        <v>0</v>
      </c>
      <c r="R38" s="981" t="s">
        <v>736</v>
      </c>
      <c r="S38" s="1328"/>
      <c r="T38" s="989" t="s">
        <v>611</v>
      </c>
      <c r="U38" s="1051">
        <v>1</v>
      </c>
      <c r="V38" s="1058" t="s">
        <v>347</v>
      </c>
      <c r="W38" s="1044"/>
      <c r="AE38" s="981">
        <v>31</v>
      </c>
    </row>
    <row r="39" spans="1:31" ht="15.75" thickBot="1" x14ac:dyDescent="0.3">
      <c r="A39" s="96" t="s">
        <v>730</v>
      </c>
      <c r="B39" s="163" t="s">
        <v>697</v>
      </c>
      <c r="C39" s="917" t="s">
        <v>604</v>
      </c>
      <c r="D39" s="50">
        <f>Poeng!T96</f>
        <v>0</v>
      </c>
      <c r="E39" s="49"/>
      <c r="F39" s="52">
        <f>Poeng!AB96</f>
        <v>0</v>
      </c>
      <c r="H39" s="212">
        <f t="shared" ref="H39:H71" si="4">SUMIF($R$7:$R$182,A39,$U$7:$U$182)</f>
        <v>1</v>
      </c>
      <c r="I39" s="365" t="str">
        <f t="shared" si="3"/>
        <v>FEIL</v>
      </c>
      <c r="N39" s="355" t="s">
        <v>144</v>
      </c>
      <c r="O39" s="348" t="b">
        <f t="shared" si="2"/>
        <v>0</v>
      </c>
      <c r="R39" s="981"/>
      <c r="S39" s="1326" t="s">
        <v>119</v>
      </c>
      <c r="T39" s="1029" t="s">
        <v>837</v>
      </c>
      <c r="U39" s="1055"/>
      <c r="V39" s="1030"/>
      <c r="W39" s="1044"/>
      <c r="AE39" s="981">
        <v>32</v>
      </c>
    </row>
    <row r="40" spans="1:31" ht="15.75" thickBot="1" x14ac:dyDescent="0.3">
      <c r="A40" s="96" t="s">
        <v>731</v>
      </c>
      <c r="B40" s="163" t="s">
        <v>695</v>
      </c>
      <c r="C40" s="917" t="s">
        <v>605</v>
      </c>
      <c r="D40" s="56">
        <f>Poeng!T97</f>
        <v>27</v>
      </c>
      <c r="E40" s="56"/>
      <c r="F40" s="56">
        <f>SUM(F29:F39)</f>
        <v>27</v>
      </c>
      <c r="H40" s="212">
        <f t="shared" si="4"/>
        <v>1</v>
      </c>
      <c r="I40" s="365" t="str">
        <f t="shared" si="3"/>
        <v>FEIL</v>
      </c>
      <c r="N40" s="350"/>
      <c r="O40" s="348" t="b">
        <f t="shared" si="2"/>
        <v>1</v>
      </c>
      <c r="R40" s="981" t="s">
        <v>737</v>
      </c>
      <c r="S40" s="1327"/>
      <c r="T40" s="990" t="s">
        <v>612</v>
      </c>
      <c r="U40" s="1047">
        <v>1</v>
      </c>
      <c r="V40" s="1058" t="s">
        <v>347</v>
      </c>
      <c r="W40" s="1044"/>
      <c r="AE40" s="981">
        <v>33</v>
      </c>
    </row>
    <row r="41" spans="1:31" ht="15.75" thickBot="1" x14ac:dyDescent="0.3">
      <c r="A41" s="96" t="s">
        <v>732</v>
      </c>
      <c r="B41" s="163" t="s">
        <v>694</v>
      </c>
      <c r="C41" s="917" t="s">
        <v>606</v>
      </c>
      <c r="D41" s="30"/>
      <c r="E41" s="30"/>
      <c r="H41" s="212">
        <f t="shared" si="4"/>
        <v>1</v>
      </c>
      <c r="I41" s="365" t="str">
        <f t="shared" si="3"/>
        <v>FEIL</v>
      </c>
      <c r="N41" s="351" t="s">
        <v>361</v>
      </c>
      <c r="O41" s="348" t="b">
        <f t="shared" si="2"/>
        <v>0</v>
      </c>
      <c r="R41" s="981" t="s">
        <v>738</v>
      </c>
      <c r="S41" s="1327"/>
      <c r="T41" s="989" t="s">
        <v>613</v>
      </c>
      <c r="U41" s="1047">
        <v>1</v>
      </c>
      <c r="V41" s="1058" t="s">
        <v>347</v>
      </c>
      <c r="W41" s="1044"/>
      <c r="AE41" s="981">
        <v>34</v>
      </c>
    </row>
    <row r="42" spans="1:31" ht="15.75" thickBot="1" x14ac:dyDescent="0.3">
      <c r="A42" s="96" t="s">
        <v>956</v>
      </c>
      <c r="B42" s="163" t="s">
        <v>909</v>
      </c>
      <c r="C42" s="917" t="s">
        <v>607</v>
      </c>
      <c r="D42" s="53"/>
      <c r="E42" s="53"/>
      <c r="F42" s="53"/>
      <c r="H42" s="212">
        <f t="shared" si="4"/>
        <v>1</v>
      </c>
      <c r="I42" s="365" t="str">
        <f t="shared" si="3"/>
        <v>FEIL</v>
      </c>
      <c r="N42" s="354" t="s">
        <v>147</v>
      </c>
      <c r="O42" s="348" t="b">
        <f t="shared" si="2"/>
        <v>0</v>
      </c>
      <c r="R42" s="981" t="s">
        <v>739</v>
      </c>
      <c r="S42" s="1328"/>
      <c r="T42" s="989" t="s">
        <v>838</v>
      </c>
      <c r="U42" s="1047">
        <v>1</v>
      </c>
      <c r="V42" s="1058" t="s">
        <v>347</v>
      </c>
      <c r="W42" s="1044"/>
      <c r="AE42" s="981">
        <v>35</v>
      </c>
    </row>
    <row r="43" spans="1:31" x14ac:dyDescent="0.25">
      <c r="A43" s="137" t="s">
        <v>118</v>
      </c>
      <c r="B43" s="834" t="s">
        <v>118</v>
      </c>
      <c r="C43" s="832" t="s">
        <v>112</v>
      </c>
      <c r="D43" s="50">
        <f>Poeng!T100</f>
        <v>3</v>
      </c>
      <c r="E43" s="49"/>
      <c r="F43" s="52">
        <f>Poeng!AB100</f>
        <v>3</v>
      </c>
      <c r="H43" s="961">
        <f t="shared" si="4"/>
        <v>0</v>
      </c>
      <c r="I43" s="365" t="str">
        <f t="shared" si="3"/>
        <v>FEIL</v>
      </c>
      <c r="N43" s="354" t="s">
        <v>148</v>
      </c>
      <c r="O43" s="348" t="b">
        <f t="shared" si="2"/>
        <v>0</v>
      </c>
      <c r="R43" s="981" t="s">
        <v>741</v>
      </c>
      <c r="S43" s="991" t="s">
        <v>121</v>
      </c>
      <c r="T43" s="994" t="s">
        <v>616</v>
      </c>
      <c r="U43" s="1049">
        <v>3</v>
      </c>
      <c r="V43" s="1058" t="s">
        <v>347</v>
      </c>
      <c r="W43" s="1044"/>
      <c r="AE43" s="981">
        <v>36</v>
      </c>
    </row>
    <row r="44" spans="1:31" ht="15.75" customHeight="1" x14ac:dyDescent="0.25">
      <c r="A44" s="96"/>
      <c r="B44" s="163" t="s">
        <v>693</v>
      </c>
      <c r="C44" s="940" t="s">
        <v>608</v>
      </c>
      <c r="D44" s="50">
        <f>Poeng!T103</f>
        <v>10</v>
      </c>
      <c r="E44" s="49"/>
      <c r="F44" s="52">
        <f>Poeng!AB103</f>
        <v>10</v>
      </c>
      <c r="H44" s="212">
        <f t="shared" si="4"/>
        <v>0</v>
      </c>
      <c r="I44" s="365" t="str">
        <f t="shared" si="3"/>
        <v>FEIL</v>
      </c>
      <c r="N44" s="354" t="s">
        <v>362</v>
      </c>
      <c r="O44" s="348" t="b">
        <f t="shared" si="2"/>
        <v>0</v>
      </c>
      <c r="R44" s="981"/>
      <c r="S44" s="1317" t="s">
        <v>122</v>
      </c>
      <c r="T44" s="1029" t="s">
        <v>839</v>
      </c>
      <c r="U44" s="1055"/>
      <c r="V44" s="1030"/>
      <c r="W44" s="1044"/>
      <c r="AE44" s="981">
        <v>37</v>
      </c>
    </row>
    <row r="45" spans="1:31" ht="15.75" customHeight="1" x14ac:dyDescent="0.25">
      <c r="A45" s="96" t="s">
        <v>734</v>
      </c>
      <c r="B45" s="163" t="s">
        <v>696</v>
      </c>
      <c r="C45" s="917" t="s">
        <v>609</v>
      </c>
      <c r="D45" s="67">
        <f>Poeng!T106</f>
        <v>0</v>
      </c>
      <c r="E45" s="49"/>
      <c r="F45" s="52">
        <f>Poeng!AB106</f>
        <v>0</v>
      </c>
      <c r="H45" s="212">
        <f t="shared" si="4"/>
        <v>1</v>
      </c>
      <c r="I45" s="365" t="str">
        <f t="shared" si="3"/>
        <v>FEIL</v>
      </c>
      <c r="N45" s="354" t="s">
        <v>363</v>
      </c>
      <c r="O45" s="348" t="b">
        <f t="shared" si="2"/>
        <v>0</v>
      </c>
      <c r="R45" s="981" t="s">
        <v>742</v>
      </c>
      <c r="S45" s="1318"/>
      <c r="T45" s="990" t="s">
        <v>840</v>
      </c>
      <c r="U45" s="1049">
        <v>2</v>
      </c>
      <c r="V45" s="1060" t="s">
        <v>347</v>
      </c>
      <c r="W45" s="1044"/>
      <c r="AE45" s="981">
        <v>38</v>
      </c>
    </row>
    <row r="46" spans="1:31" ht="15.75" customHeight="1" x14ac:dyDescent="0.25">
      <c r="A46" s="96" t="s">
        <v>735</v>
      </c>
      <c r="B46" s="166" t="s">
        <v>697</v>
      </c>
      <c r="C46" s="917" t="s">
        <v>610</v>
      </c>
      <c r="D46" s="67">
        <f>Poeng!T107</f>
        <v>0</v>
      </c>
      <c r="E46" s="49"/>
      <c r="F46" s="52">
        <f>Poeng!AB107</f>
        <v>0</v>
      </c>
      <c r="H46" s="212">
        <f t="shared" si="4"/>
        <v>2</v>
      </c>
      <c r="I46" s="365" t="str">
        <f t="shared" si="3"/>
        <v>FEIL</v>
      </c>
      <c r="N46" s="354" t="s">
        <v>150</v>
      </c>
      <c r="O46" s="348" t="b">
        <f t="shared" si="2"/>
        <v>0</v>
      </c>
      <c r="R46" s="981" t="s">
        <v>743</v>
      </c>
      <c r="S46" s="1319"/>
      <c r="T46" s="989" t="s">
        <v>841</v>
      </c>
      <c r="U46" s="1049">
        <v>1</v>
      </c>
      <c r="V46" s="1060" t="s">
        <v>347</v>
      </c>
      <c r="W46" s="1044"/>
      <c r="AE46" s="981">
        <v>39</v>
      </c>
    </row>
    <row r="47" spans="1:31" s="30" customFormat="1" ht="15.75" customHeight="1" x14ac:dyDescent="0.25">
      <c r="A47" s="96" t="s">
        <v>736</v>
      </c>
      <c r="B47" s="166" t="s">
        <v>695</v>
      </c>
      <c r="C47" s="917" t="s">
        <v>611</v>
      </c>
      <c r="D47" s="67">
        <f>Poeng!T108</f>
        <v>0</v>
      </c>
      <c r="E47" s="49"/>
      <c r="F47" s="52">
        <f>Poeng!AB108</f>
        <v>0</v>
      </c>
      <c r="G47"/>
      <c r="H47" s="212">
        <f t="shared" si="4"/>
        <v>1</v>
      </c>
      <c r="I47" s="365" t="str">
        <f t="shared" si="3"/>
        <v>FEIL</v>
      </c>
      <c r="J47"/>
      <c r="K47"/>
      <c r="N47" s="354" t="s">
        <v>151</v>
      </c>
      <c r="O47" s="348" t="b">
        <f t="shared" si="2"/>
        <v>0</v>
      </c>
      <c r="Q47" s="981"/>
      <c r="R47" s="981" t="s">
        <v>744</v>
      </c>
      <c r="S47" s="991" t="s">
        <v>124</v>
      </c>
      <c r="T47" s="994" t="s">
        <v>353</v>
      </c>
      <c r="U47" s="1047" t="s">
        <v>235</v>
      </c>
      <c r="V47" s="1058" t="s">
        <v>347</v>
      </c>
      <c r="W47" s="1044"/>
      <c r="AE47" s="981">
        <v>40</v>
      </c>
    </row>
    <row r="48" spans="1:31" ht="15.75" thickBot="1" x14ac:dyDescent="0.3">
      <c r="A48" s="137" t="s">
        <v>119</v>
      </c>
      <c r="B48" s="834" t="s">
        <v>119</v>
      </c>
      <c r="C48" s="832" t="s">
        <v>113</v>
      </c>
      <c r="D48" s="67">
        <f>Poeng!T109</f>
        <v>0</v>
      </c>
      <c r="E48" s="69"/>
      <c r="F48" s="52">
        <f>Poeng!AB109</f>
        <v>0</v>
      </c>
      <c r="G48" s="30"/>
      <c r="H48" s="961">
        <f t="shared" si="4"/>
        <v>0</v>
      </c>
      <c r="I48" s="365" t="str">
        <f t="shared" si="3"/>
        <v>OK</v>
      </c>
      <c r="J48" s="30"/>
      <c r="K48" s="30"/>
      <c r="N48" s="354" t="s">
        <v>314</v>
      </c>
      <c r="O48" s="348" t="b">
        <f t="shared" si="2"/>
        <v>0</v>
      </c>
      <c r="R48" s="981"/>
      <c r="S48" s="987"/>
      <c r="T48" s="985"/>
      <c r="U48" s="1045"/>
      <c r="V48" s="1046"/>
      <c r="W48" s="1044"/>
      <c r="AE48" s="981">
        <v>41</v>
      </c>
    </row>
    <row r="49" spans="1:31" ht="15.75" thickBot="1" x14ac:dyDescent="0.3">
      <c r="A49" s="96" t="s">
        <v>737</v>
      </c>
      <c r="B49" s="163" t="s">
        <v>693</v>
      </c>
      <c r="C49" s="917" t="s">
        <v>612</v>
      </c>
      <c r="D49" s="56">
        <f>Poeng!T110</f>
        <v>13</v>
      </c>
      <c r="E49" s="56"/>
      <c r="F49" s="56">
        <f>SUM(F43:F48)</f>
        <v>13</v>
      </c>
      <c r="H49" s="212">
        <f t="shared" si="4"/>
        <v>1</v>
      </c>
      <c r="I49" s="365" t="str">
        <f t="shared" si="3"/>
        <v>FEIL</v>
      </c>
      <c r="N49" s="350"/>
      <c r="O49" s="348" t="b">
        <f t="shared" si="2"/>
        <v>0</v>
      </c>
      <c r="R49" s="981"/>
      <c r="S49" s="986" t="s">
        <v>354</v>
      </c>
      <c r="T49" s="985"/>
      <c r="U49" s="1045"/>
      <c r="V49" s="1046"/>
      <c r="W49" s="1044"/>
      <c r="AE49" s="981">
        <v>42</v>
      </c>
    </row>
    <row r="50" spans="1:31" ht="15.75" thickBot="1" x14ac:dyDescent="0.3">
      <c r="A50" s="96" t="s">
        <v>738</v>
      </c>
      <c r="B50" s="163" t="s">
        <v>696</v>
      </c>
      <c r="C50" s="917" t="s">
        <v>613</v>
      </c>
      <c r="D50" s="30"/>
      <c r="E50" s="30"/>
      <c r="H50" s="212">
        <f t="shared" si="4"/>
        <v>1</v>
      </c>
      <c r="I50" s="365" t="str">
        <f t="shared" si="3"/>
        <v>FEIL</v>
      </c>
      <c r="N50" s="351" t="s">
        <v>364</v>
      </c>
      <c r="O50" s="348" t="b">
        <f t="shared" si="2"/>
        <v>0</v>
      </c>
      <c r="R50" s="981"/>
      <c r="S50" s="1317" t="s">
        <v>135</v>
      </c>
      <c r="T50" s="1029" t="s">
        <v>842</v>
      </c>
      <c r="U50" s="1055"/>
      <c r="V50" s="1030"/>
      <c r="W50" s="1044"/>
      <c r="AE50" s="981">
        <v>43</v>
      </c>
    </row>
    <row r="51" spans="1:31" ht="15.75" thickBot="1" x14ac:dyDescent="0.3">
      <c r="A51" s="96" t="s">
        <v>739</v>
      </c>
      <c r="B51" s="166" t="s">
        <v>697</v>
      </c>
      <c r="C51" s="917" t="s">
        <v>614</v>
      </c>
      <c r="D51" s="53"/>
      <c r="E51" s="53"/>
      <c r="F51" s="53"/>
      <c r="H51" s="212">
        <f t="shared" si="4"/>
        <v>1</v>
      </c>
      <c r="I51" s="365" t="str">
        <f t="shared" si="3"/>
        <v>FEIL</v>
      </c>
      <c r="N51" s="354" t="s">
        <v>169</v>
      </c>
      <c r="O51" s="348" t="b">
        <f t="shared" si="2"/>
        <v>0</v>
      </c>
      <c r="R51" s="981" t="s">
        <v>745</v>
      </c>
      <c r="S51" s="1318"/>
      <c r="T51" s="990" t="s">
        <v>620</v>
      </c>
      <c r="U51" s="1047" t="s">
        <v>235</v>
      </c>
      <c r="V51" s="1057" t="s">
        <v>347</v>
      </c>
      <c r="W51" s="1044"/>
      <c r="AE51" s="981">
        <v>44</v>
      </c>
    </row>
    <row r="52" spans="1:31" x14ac:dyDescent="0.25">
      <c r="A52" s="96"/>
      <c r="B52" s="701" t="s">
        <v>120</v>
      </c>
      <c r="C52" s="702"/>
      <c r="D52" s="52">
        <f>Poeng!T113</f>
        <v>5</v>
      </c>
      <c r="E52" s="51"/>
      <c r="F52" s="52">
        <f>Poeng!AB113</f>
        <v>5</v>
      </c>
      <c r="H52" s="962">
        <f t="shared" si="4"/>
        <v>0</v>
      </c>
      <c r="I52" s="365" t="str">
        <f t="shared" si="3"/>
        <v>FEIL</v>
      </c>
      <c r="N52" s="354" t="s">
        <v>170</v>
      </c>
      <c r="O52" s="348" t="b">
        <f t="shared" si="2"/>
        <v>0</v>
      </c>
      <c r="R52" s="981" t="s">
        <v>746</v>
      </c>
      <c r="S52" s="1318"/>
      <c r="T52" s="989" t="s">
        <v>621</v>
      </c>
      <c r="U52" s="1047">
        <v>1</v>
      </c>
      <c r="V52" s="1057" t="s">
        <v>347</v>
      </c>
      <c r="W52" s="1044"/>
      <c r="AE52" s="981">
        <v>45</v>
      </c>
    </row>
    <row r="53" spans="1:31" x14ac:dyDescent="0.25">
      <c r="A53" s="137" t="s">
        <v>121</v>
      </c>
      <c r="B53" s="834" t="s">
        <v>121</v>
      </c>
      <c r="C53" s="832" t="s">
        <v>127</v>
      </c>
      <c r="D53" s="50">
        <f>Poeng!T115</f>
        <v>1</v>
      </c>
      <c r="E53" s="49"/>
      <c r="F53" s="52">
        <f>Poeng!AB115</f>
        <v>1</v>
      </c>
      <c r="H53" s="961">
        <f t="shared" si="4"/>
        <v>0</v>
      </c>
      <c r="I53" s="365" t="str">
        <f t="shared" si="3"/>
        <v>FEIL</v>
      </c>
      <c r="N53" s="354" t="s">
        <v>171</v>
      </c>
      <c r="O53" s="348" t="b">
        <f t="shared" si="2"/>
        <v>0</v>
      </c>
      <c r="R53" s="981" t="s">
        <v>747</v>
      </c>
      <c r="S53" s="1318"/>
      <c r="T53" s="989" t="s">
        <v>622</v>
      </c>
      <c r="U53" s="1047">
        <v>22</v>
      </c>
      <c r="V53" s="1057" t="s">
        <v>347</v>
      </c>
      <c r="W53" s="1044"/>
      <c r="AE53" s="981">
        <v>46</v>
      </c>
    </row>
    <row r="54" spans="1:31" x14ac:dyDescent="0.25">
      <c r="A54" s="96"/>
      <c r="B54" s="163" t="s">
        <v>693</v>
      </c>
      <c r="C54" s="940" t="s">
        <v>615</v>
      </c>
      <c r="D54" s="50">
        <f>Poeng!T117</f>
        <v>2</v>
      </c>
      <c r="E54" s="49"/>
      <c r="F54" s="52">
        <f>Poeng!AB117</f>
        <v>2</v>
      </c>
      <c r="H54" s="212">
        <f t="shared" si="4"/>
        <v>0</v>
      </c>
      <c r="I54" s="365" t="str">
        <f t="shared" si="3"/>
        <v>FEIL</v>
      </c>
      <c r="N54" s="354" t="s">
        <v>172</v>
      </c>
      <c r="O54" s="348" t="b">
        <f t="shared" si="2"/>
        <v>0</v>
      </c>
      <c r="R54" s="981" t="s">
        <v>748</v>
      </c>
      <c r="S54" s="1318"/>
      <c r="T54" s="989" t="s">
        <v>623</v>
      </c>
      <c r="U54" s="1047">
        <v>1</v>
      </c>
      <c r="V54" s="1057" t="s">
        <v>347</v>
      </c>
      <c r="W54" s="1044"/>
      <c r="AE54" s="981">
        <v>47</v>
      </c>
    </row>
    <row r="55" spans="1:31" ht="15.75" thickBot="1" x14ac:dyDescent="0.3">
      <c r="A55" s="96" t="s">
        <v>741</v>
      </c>
      <c r="B55" s="163" t="s">
        <v>696</v>
      </c>
      <c r="C55" s="917" t="s">
        <v>616</v>
      </c>
      <c r="D55" s="50">
        <f>Poeng!T121</f>
        <v>1</v>
      </c>
      <c r="E55" s="49"/>
      <c r="F55" s="52">
        <f>Poeng!AB121</f>
        <v>1</v>
      </c>
      <c r="H55" s="212">
        <f t="shared" si="4"/>
        <v>3</v>
      </c>
      <c r="I55" s="365" t="str">
        <f t="shared" si="3"/>
        <v>FEIL</v>
      </c>
      <c r="N55" s="350"/>
      <c r="O55" s="348" t="b">
        <f t="shared" si="2"/>
        <v>1</v>
      </c>
      <c r="R55" s="981" t="s">
        <v>749</v>
      </c>
      <c r="S55" s="1319"/>
      <c r="T55" s="989" t="s">
        <v>624</v>
      </c>
      <c r="U55" s="1047" t="s">
        <v>235</v>
      </c>
      <c r="V55" s="1057" t="s">
        <v>347</v>
      </c>
      <c r="W55" s="1044"/>
      <c r="AE55" s="981">
        <v>48</v>
      </c>
    </row>
    <row r="56" spans="1:31" ht="15.75" thickBot="1" x14ac:dyDescent="0.3">
      <c r="A56" s="137" t="s">
        <v>122</v>
      </c>
      <c r="B56" s="834" t="s">
        <v>122</v>
      </c>
      <c r="C56" s="832" t="s">
        <v>114</v>
      </c>
      <c r="D56" s="56">
        <f>Poeng!T123</f>
        <v>9</v>
      </c>
      <c r="E56" s="56"/>
      <c r="F56" s="56">
        <f>SUM(F52:F55)</f>
        <v>9</v>
      </c>
      <c r="H56" s="961">
        <f t="shared" si="4"/>
        <v>0</v>
      </c>
      <c r="I56" s="365" t="str">
        <f t="shared" si="3"/>
        <v>FEIL</v>
      </c>
      <c r="N56" s="351" t="s">
        <v>369</v>
      </c>
      <c r="O56" s="348" t="b">
        <f t="shared" si="2"/>
        <v>0</v>
      </c>
      <c r="R56" s="981"/>
      <c r="S56" s="1317" t="s">
        <v>136</v>
      </c>
      <c r="T56" s="1031" t="s">
        <v>843</v>
      </c>
      <c r="U56" s="1032"/>
      <c r="V56" s="1033"/>
      <c r="W56" s="1044"/>
      <c r="AE56" s="981">
        <v>49</v>
      </c>
    </row>
    <row r="57" spans="1:31" ht="15.75" thickBot="1" x14ac:dyDescent="0.3">
      <c r="A57" s="96" t="s">
        <v>742</v>
      </c>
      <c r="B57" s="163" t="s">
        <v>693</v>
      </c>
      <c r="C57" s="917" t="s">
        <v>617</v>
      </c>
      <c r="D57" s="30"/>
      <c r="E57" s="30"/>
      <c r="H57" s="212">
        <f t="shared" si="4"/>
        <v>2</v>
      </c>
      <c r="I57" s="365" t="str">
        <f t="shared" si="3"/>
        <v>FEIL</v>
      </c>
      <c r="N57" s="354" t="s">
        <v>173</v>
      </c>
      <c r="O57" s="348" t="b">
        <f t="shared" si="2"/>
        <v>0</v>
      </c>
      <c r="R57" s="981" t="s">
        <v>253</v>
      </c>
      <c r="S57" s="1318"/>
      <c r="T57" s="989" t="s">
        <v>625</v>
      </c>
      <c r="U57" s="1047">
        <v>1</v>
      </c>
      <c r="V57" s="1061" t="s">
        <v>347</v>
      </c>
      <c r="W57" s="1044"/>
      <c r="AE57" s="981">
        <v>50</v>
      </c>
    </row>
    <row r="58" spans="1:31" ht="15.75" thickBot="1" x14ac:dyDescent="0.3">
      <c r="A58" s="96" t="s">
        <v>743</v>
      </c>
      <c r="B58" s="163" t="s">
        <v>696</v>
      </c>
      <c r="C58" s="917" t="s">
        <v>618</v>
      </c>
      <c r="D58" s="53"/>
      <c r="E58" s="53"/>
      <c r="F58" s="53"/>
      <c r="H58" s="212">
        <f t="shared" si="4"/>
        <v>1</v>
      </c>
      <c r="I58" s="365" t="str">
        <f t="shared" si="3"/>
        <v>FEIL</v>
      </c>
      <c r="N58" s="354" t="s">
        <v>174</v>
      </c>
      <c r="O58" s="348" t="b">
        <f t="shared" si="2"/>
        <v>0</v>
      </c>
      <c r="R58" s="981" t="s">
        <v>355</v>
      </c>
      <c r="S58" s="1318"/>
      <c r="T58" s="989" t="s">
        <v>626</v>
      </c>
      <c r="U58" s="1047">
        <v>1</v>
      </c>
      <c r="V58" s="1061" t="s">
        <v>347</v>
      </c>
      <c r="W58" s="1044"/>
      <c r="AE58" s="981">
        <v>51</v>
      </c>
    </row>
    <row r="59" spans="1:31" s="367" customFormat="1" x14ac:dyDescent="0.25">
      <c r="A59" s="96"/>
      <c r="B59" s="701" t="s">
        <v>123</v>
      </c>
      <c r="C59" s="700"/>
      <c r="D59" s="52">
        <f>Poeng!T126</f>
        <v>5</v>
      </c>
      <c r="E59" s="51"/>
      <c r="F59" s="52">
        <f>Poeng!AB126</f>
        <v>5</v>
      </c>
      <c r="G59"/>
      <c r="H59" s="962">
        <f t="shared" si="4"/>
        <v>0</v>
      </c>
      <c r="I59" s="365" t="str">
        <f t="shared" si="3"/>
        <v>FEIL</v>
      </c>
      <c r="J59"/>
      <c r="K59"/>
      <c r="N59" s="369"/>
      <c r="Q59" s="981"/>
      <c r="R59" s="981" t="s">
        <v>750</v>
      </c>
      <c r="S59" s="1319"/>
      <c r="T59" s="989" t="s">
        <v>627</v>
      </c>
      <c r="U59" s="1047" t="s">
        <v>235</v>
      </c>
      <c r="V59" s="1061" t="s">
        <v>347</v>
      </c>
      <c r="W59" s="1044"/>
      <c r="AE59" s="981">
        <v>52</v>
      </c>
    </row>
    <row r="60" spans="1:31" x14ac:dyDescent="0.25">
      <c r="A60" s="137" t="s">
        <v>124</v>
      </c>
      <c r="B60" s="834" t="s">
        <v>124</v>
      </c>
      <c r="C60" s="832" t="s">
        <v>116</v>
      </c>
      <c r="D60" s="52">
        <f>Poeng!T130</f>
        <v>3</v>
      </c>
      <c r="E60" s="51"/>
      <c r="F60" s="52">
        <f>Poeng!AB130</f>
        <v>3</v>
      </c>
      <c r="G60" s="367"/>
      <c r="H60" s="961">
        <f t="shared" si="4"/>
        <v>0</v>
      </c>
      <c r="I60" s="365" t="str">
        <f t="shared" si="3"/>
        <v>FEIL</v>
      </c>
      <c r="J60" s="367"/>
      <c r="K60" s="367"/>
      <c r="N60" s="354" t="s">
        <v>175</v>
      </c>
      <c r="O60" s="348" t="b">
        <f t="shared" si="2"/>
        <v>0</v>
      </c>
      <c r="R60" s="981" t="s">
        <v>751</v>
      </c>
      <c r="S60" s="991" t="s">
        <v>137</v>
      </c>
      <c r="T60" s="999" t="s">
        <v>356</v>
      </c>
      <c r="U60" s="1047">
        <v>1</v>
      </c>
      <c r="V60" s="1061" t="s">
        <v>347</v>
      </c>
      <c r="W60" s="1044"/>
      <c r="AE60" s="981">
        <v>53</v>
      </c>
    </row>
    <row r="61" spans="1:31" x14ac:dyDescent="0.25">
      <c r="A61" s="96" t="s">
        <v>744</v>
      </c>
      <c r="B61" s="192" t="s">
        <v>693</v>
      </c>
      <c r="C61" s="917" t="s">
        <v>619</v>
      </c>
      <c r="D61" s="52">
        <f>Poeng!T134</f>
        <v>3</v>
      </c>
      <c r="E61" s="49"/>
      <c r="F61" s="52">
        <f>Poeng!AB134</f>
        <v>3</v>
      </c>
      <c r="H61" s="212">
        <f t="shared" si="4"/>
        <v>0</v>
      </c>
      <c r="I61" s="365" t="str">
        <f t="shared" si="3"/>
        <v>FEIL</v>
      </c>
      <c r="N61" s="350"/>
      <c r="O61" s="348" t="b">
        <f t="shared" si="2"/>
        <v>0</v>
      </c>
      <c r="R61" s="981"/>
      <c r="S61" s="1317" t="s">
        <v>139</v>
      </c>
      <c r="T61" s="1026" t="s">
        <v>357</v>
      </c>
      <c r="U61" s="1054"/>
      <c r="V61" s="1028"/>
      <c r="W61" s="1044"/>
      <c r="AE61" s="981">
        <v>54</v>
      </c>
    </row>
    <row r="62" spans="1:31" s="367" customFormat="1" ht="15.75" thickBot="1" x14ac:dyDescent="0.3">
      <c r="A62" s="96"/>
      <c r="B62" s="703" t="s">
        <v>125</v>
      </c>
      <c r="C62" s="704"/>
      <c r="D62" s="52">
        <f>Poeng!T138</f>
        <v>4</v>
      </c>
      <c r="E62" s="49"/>
      <c r="F62" s="52">
        <f>Poeng!AB138</f>
        <v>4</v>
      </c>
      <c r="G62"/>
      <c r="H62" s="962">
        <f t="shared" si="4"/>
        <v>0</v>
      </c>
      <c r="I62" s="365" t="str">
        <f t="shared" si="3"/>
        <v>FEIL</v>
      </c>
      <c r="J62"/>
      <c r="K62"/>
      <c r="N62" s="368"/>
      <c r="Q62" s="981"/>
      <c r="R62" s="981" t="s">
        <v>753</v>
      </c>
      <c r="S62" s="1318"/>
      <c r="T62" s="989" t="s">
        <v>630</v>
      </c>
      <c r="U62" s="1050" t="s">
        <v>235</v>
      </c>
      <c r="V62" s="1062" t="s">
        <v>352</v>
      </c>
      <c r="W62" s="1044"/>
      <c r="AE62" s="981">
        <v>55</v>
      </c>
    </row>
    <row r="63" spans="1:31" ht="15.75" thickBot="1" x14ac:dyDescent="0.3">
      <c r="A63" s="96" t="s">
        <v>883</v>
      </c>
      <c r="B63" s="201"/>
      <c r="C63" s="202" t="s">
        <v>214</v>
      </c>
      <c r="D63" s="52">
        <f>Poeng!T144</f>
        <v>3</v>
      </c>
      <c r="E63" s="49"/>
      <c r="F63" s="52">
        <f>Poeng!AB144</f>
        <v>3</v>
      </c>
      <c r="G63" s="367"/>
      <c r="H63" s="226">
        <f t="shared" si="4"/>
        <v>0</v>
      </c>
      <c r="I63" s="365" t="str">
        <f t="shared" si="3"/>
        <v>FEIL</v>
      </c>
      <c r="J63" s="367"/>
      <c r="K63" s="367"/>
      <c r="N63" s="351" t="s">
        <v>371</v>
      </c>
      <c r="O63" s="348" t="b">
        <f t="shared" si="2"/>
        <v>0</v>
      </c>
      <c r="R63" s="981" t="s">
        <v>754</v>
      </c>
      <c r="S63" s="1319"/>
      <c r="T63" s="989" t="s">
        <v>631</v>
      </c>
      <c r="U63" s="1050" t="s">
        <v>235</v>
      </c>
      <c r="V63" s="1062" t="s">
        <v>352</v>
      </c>
      <c r="W63" s="1044"/>
      <c r="AE63" s="981">
        <v>56</v>
      </c>
    </row>
    <row r="64" spans="1:31" ht="15.75" thickBot="1" x14ac:dyDescent="0.3">
      <c r="A64" s="96"/>
      <c r="B64" s="96"/>
      <c r="C64" s="96"/>
      <c r="D64" s="52">
        <f>Poeng!T148</f>
        <v>3</v>
      </c>
      <c r="E64" s="49"/>
      <c r="F64" s="52">
        <f>Poeng!AB148</f>
        <v>3</v>
      </c>
      <c r="H64" s="96">
        <f t="shared" si="4"/>
        <v>0</v>
      </c>
      <c r="I64" s="365" t="str">
        <f t="shared" si="3"/>
        <v>FEIL</v>
      </c>
      <c r="N64" s="354" t="s">
        <v>177</v>
      </c>
      <c r="O64" s="348" t="b">
        <f t="shared" si="2"/>
        <v>0</v>
      </c>
      <c r="R64" s="981"/>
      <c r="S64" s="1317" t="s">
        <v>140</v>
      </c>
      <c r="T64" s="1026" t="s">
        <v>358</v>
      </c>
      <c r="U64" s="1054"/>
      <c r="V64" s="1028"/>
      <c r="W64" s="1044"/>
      <c r="AE64" s="981">
        <v>57</v>
      </c>
    </row>
    <row r="65" spans="1:31" ht="15.75" thickBot="1" x14ac:dyDescent="0.3">
      <c r="A65" s="96"/>
      <c r="B65" s="145"/>
      <c r="C65" s="146" t="s">
        <v>66</v>
      </c>
      <c r="D65" s="56">
        <f>Poeng!T152</f>
        <v>21</v>
      </c>
      <c r="E65" s="56"/>
      <c r="F65" s="56">
        <f>SUM(F59:F64)</f>
        <v>21</v>
      </c>
      <c r="H65" s="138">
        <f t="shared" si="4"/>
        <v>0</v>
      </c>
      <c r="I65" s="365" t="str">
        <f t="shared" si="3"/>
        <v>FEIL</v>
      </c>
      <c r="N65" s="354" t="s">
        <v>178</v>
      </c>
      <c r="O65" s="348" t="b">
        <f t="shared" si="2"/>
        <v>0</v>
      </c>
      <c r="R65" s="981" t="s">
        <v>755</v>
      </c>
      <c r="S65" s="1318"/>
      <c r="T65" s="989" t="s">
        <v>632</v>
      </c>
      <c r="U65" s="1047">
        <v>1</v>
      </c>
      <c r="V65" s="1057" t="s">
        <v>347</v>
      </c>
      <c r="W65" s="1044"/>
      <c r="AE65" s="981">
        <v>58</v>
      </c>
    </row>
    <row r="66" spans="1:31" ht="15.75" thickBot="1" x14ac:dyDescent="0.3">
      <c r="A66" s="137" t="s">
        <v>135</v>
      </c>
      <c r="B66" s="833" t="s">
        <v>135</v>
      </c>
      <c r="C66" s="831" t="s">
        <v>128</v>
      </c>
      <c r="D66" s="30"/>
      <c r="E66" s="30"/>
      <c r="H66" s="150">
        <f t="shared" si="4"/>
        <v>0</v>
      </c>
      <c r="I66" s="365" t="str">
        <f t="shared" si="3"/>
        <v>OK</v>
      </c>
      <c r="N66" s="354" t="s">
        <v>373</v>
      </c>
      <c r="O66" s="348" t="b">
        <f t="shared" si="2"/>
        <v>0</v>
      </c>
      <c r="R66" s="981" t="s">
        <v>756</v>
      </c>
      <c r="S66" s="1319"/>
      <c r="T66" s="989" t="s">
        <v>633</v>
      </c>
      <c r="U66" s="1047">
        <v>2</v>
      </c>
      <c r="V66" s="1057" t="s">
        <v>347</v>
      </c>
      <c r="W66" s="1044"/>
      <c r="AE66" s="981">
        <v>59</v>
      </c>
    </row>
    <row r="67" spans="1:31" ht="15.75" thickBot="1" x14ac:dyDescent="0.3">
      <c r="A67" s="96" t="s">
        <v>745</v>
      </c>
      <c r="B67" s="163" t="s">
        <v>693</v>
      </c>
      <c r="C67" s="917" t="s">
        <v>620</v>
      </c>
      <c r="D67" s="53"/>
      <c r="E67" s="53"/>
      <c r="F67" s="53"/>
      <c r="H67" s="221">
        <f t="shared" si="4"/>
        <v>0</v>
      </c>
      <c r="I67" s="365" t="str">
        <f t="shared" si="3"/>
        <v>OK</v>
      </c>
      <c r="N67" s="354" t="s">
        <v>375</v>
      </c>
      <c r="O67" s="348" t="b">
        <f t="shared" si="2"/>
        <v>0</v>
      </c>
      <c r="R67" s="981"/>
      <c r="S67" s="1317" t="s">
        <v>141</v>
      </c>
      <c r="T67" s="1026" t="s">
        <v>359</v>
      </c>
      <c r="U67" s="1054"/>
      <c r="V67" s="1028"/>
      <c r="W67" s="1044"/>
      <c r="AE67" s="981">
        <v>60</v>
      </c>
    </row>
    <row r="68" spans="1:31" ht="15" customHeight="1" x14ac:dyDescent="0.25">
      <c r="A68" s="96" t="s">
        <v>746</v>
      </c>
      <c r="B68" s="163" t="s">
        <v>696</v>
      </c>
      <c r="C68" s="917" t="s">
        <v>621</v>
      </c>
      <c r="D68" s="52">
        <f>Poeng!T155</f>
        <v>5</v>
      </c>
      <c r="E68" s="51"/>
      <c r="F68" s="52">
        <f>Poeng!AB155</f>
        <v>5</v>
      </c>
      <c r="H68" s="221">
        <f t="shared" si="4"/>
        <v>1</v>
      </c>
      <c r="I68" s="365" t="str">
        <f t="shared" si="3"/>
        <v>FEIL</v>
      </c>
      <c r="N68" s="354" t="s">
        <v>179</v>
      </c>
      <c r="O68" s="348" t="b">
        <f t="shared" si="2"/>
        <v>0</v>
      </c>
      <c r="R68" s="981" t="s">
        <v>757</v>
      </c>
      <c r="S68" s="1318"/>
      <c r="T68" s="989" t="s">
        <v>634</v>
      </c>
      <c r="U68" s="1047" t="s">
        <v>235</v>
      </c>
      <c r="V68" s="1057" t="s">
        <v>352</v>
      </c>
      <c r="W68" s="1044"/>
      <c r="AE68" s="981">
        <v>61</v>
      </c>
    </row>
    <row r="69" spans="1:31" x14ac:dyDescent="0.25">
      <c r="A69" s="96" t="s">
        <v>747</v>
      </c>
      <c r="B69" s="163" t="s">
        <v>697</v>
      </c>
      <c r="C69" s="917" t="s">
        <v>622</v>
      </c>
      <c r="D69" s="50">
        <f>Poeng!T159</f>
        <v>0</v>
      </c>
      <c r="E69" s="49"/>
      <c r="F69" s="52">
        <f>Poeng!AB159</f>
        <v>0</v>
      </c>
      <c r="H69" s="221">
        <f t="shared" si="4"/>
        <v>22</v>
      </c>
      <c r="I69" s="365" t="str">
        <f t="shared" si="3"/>
        <v>FEIL</v>
      </c>
      <c r="N69" s="350"/>
      <c r="O69" s="348" t="b">
        <f t="shared" si="2"/>
        <v>1</v>
      </c>
      <c r="R69" s="981" t="s">
        <v>758</v>
      </c>
      <c r="S69" s="1319"/>
      <c r="T69" s="989" t="s">
        <v>635</v>
      </c>
      <c r="U69" s="1047" t="s">
        <v>235</v>
      </c>
      <c r="V69" s="1057" t="s">
        <v>352</v>
      </c>
      <c r="W69" s="1044"/>
      <c r="AE69" s="981">
        <v>62</v>
      </c>
    </row>
    <row r="70" spans="1:31" x14ac:dyDescent="0.25">
      <c r="A70" s="96" t="s">
        <v>748</v>
      </c>
      <c r="B70" s="163" t="s">
        <v>695</v>
      </c>
      <c r="C70" s="917" t="s">
        <v>623</v>
      </c>
      <c r="D70" s="50">
        <f>Poeng!T160</f>
        <v>1</v>
      </c>
      <c r="E70" s="49"/>
      <c r="F70" s="52">
        <f>Poeng!AB160</f>
        <v>1</v>
      </c>
      <c r="H70" s="221">
        <f t="shared" si="4"/>
        <v>1</v>
      </c>
      <c r="I70" s="365" t="str">
        <f t="shared" si="3"/>
        <v>OK</v>
      </c>
      <c r="N70" s="351" t="s">
        <v>377</v>
      </c>
      <c r="O70" s="348" t="b">
        <f t="shared" si="2"/>
        <v>0</v>
      </c>
      <c r="R70" s="981" t="s">
        <v>759</v>
      </c>
      <c r="S70" s="991" t="s">
        <v>142</v>
      </c>
      <c r="T70" s="994" t="s">
        <v>360</v>
      </c>
      <c r="U70" s="1047" t="s">
        <v>235</v>
      </c>
      <c r="V70" s="1057" t="s">
        <v>347</v>
      </c>
      <c r="W70" s="1044"/>
      <c r="AE70" s="981">
        <v>63</v>
      </c>
    </row>
    <row r="71" spans="1:31" ht="15.75" thickBot="1" x14ac:dyDescent="0.3">
      <c r="A71" s="96" t="s">
        <v>749</v>
      </c>
      <c r="B71" s="163" t="s">
        <v>694</v>
      </c>
      <c r="C71" s="917" t="s">
        <v>624</v>
      </c>
      <c r="D71" s="50">
        <f>Poeng!T164</f>
        <v>1</v>
      </c>
      <c r="E71" s="49"/>
      <c r="F71" s="52">
        <f>Poeng!AB164</f>
        <v>1</v>
      </c>
      <c r="H71" s="221">
        <f t="shared" si="4"/>
        <v>0</v>
      </c>
      <c r="I71" s="365" t="str">
        <f t="shared" si="3"/>
        <v>FEIL</v>
      </c>
      <c r="N71" s="354" t="s">
        <v>180</v>
      </c>
      <c r="O71" s="348" t="b">
        <f t="shared" si="2"/>
        <v>0</v>
      </c>
      <c r="R71" s="981"/>
      <c r="S71" s="987"/>
      <c r="T71" s="985"/>
      <c r="U71" s="1045"/>
      <c r="V71" s="1046"/>
      <c r="W71" s="1044"/>
      <c r="AE71" s="981">
        <v>64</v>
      </c>
    </row>
    <row r="72" spans="1:31" ht="15.75" thickBot="1" x14ac:dyDescent="0.3">
      <c r="A72" s="137" t="s">
        <v>136</v>
      </c>
      <c r="B72" s="834" t="s">
        <v>136</v>
      </c>
      <c r="C72" s="832" t="s">
        <v>134</v>
      </c>
      <c r="D72" s="56">
        <f>Poeng!T166</f>
        <v>7</v>
      </c>
      <c r="E72" s="56"/>
      <c r="F72" s="56">
        <f>SUM(F68:F71)</f>
        <v>7</v>
      </c>
      <c r="H72" s="963">
        <f t="shared" ref="H72:H135" si="5">SUMIF($R$7:$R$182,A72,$U$7:$U$182)</f>
        <v>0</v>
      </c>
      <c r="I72" s="365" t="str">
        <f t="shared" si="3"/>
        <v>FEIL</v>
      </c>
      <c r="N72" s="354" t="s">
        <v>181</v>
      </c>
      <c r="O72" s="348" t="b">
        <f t="shared" si="2"/>
        <v>0</v>
      </c>
      <c r="R72" s="981"/>
      <c r="S72" s="986" t="s">
        <v>361</v>
      </c>
      <c r="T72" s="985"/>
      <c r="U72" s="1045"/>
      <c r="V72" s="1046"/>
      <c r="W72" s="1044"/>
      <c r="AE72" s="981">
        <v>65</v>
      </c>
    </row>
    <row r="73" spans="1:31" ht="15.75" thickBot="1" x14ac:dyDescent="0.3">
      <c r="A73" s="96" t="s">
        <v>253</v>
      </c>
      <c r="B73" s="163" t="s">
        <v>693</v>
      </c>
      <c r="C73" s="917" t="s">
        <v>625</v>
      </c>
      <c r="D73" s="30"/>
      <c r="E73" s="30"/>
      <c r="H73" s="221">
        <f t="shared" si="5"/>
        <v>1</v>
      </c>
      <c r="I73" s="365" t="str">
        <f t="shared" si="3"/>
        <v>FEIL</v>
      </c>
      <c r="N73" s="354" t="s">
        <v>182</v>
      </c>
      <c r="O73" s="348" t="b">
        <f t="shared" ref="O73:O97" si="6">N73=S73</f>
        <v>0</v>
      </c>
      <c r="R73" s="981"/>
      <c r="S73" s="1317" t="s">
        <v>147</v>
      </c>
      <c r="T73" s="1026" t="s">
        <v>844</v>
      </c>
      <c r="U73" s="1054"/>
      <c r="V73" s="1054"/>
      <c r="W73" s="1044"/>
      <c r="AE73" s="981">
        <v>66</v>
      </c>
    </row>
    <row r="74" spans="1:31" ht="15.75" thickBot="1" x14ac:dyDescent="0.3">
      <c r="A74" s="96" t="s">
        <v>355</v>
      </c>
      <c r="B74" s="163" t="s">
        <v>696</v>
      </c>
      <c r="C74" s="917" t="s">
        <v>626</v>
      </c>
      <c r="D74" s="53"/>
      <c r="E74" s="53"/>
      <c r="F74" s="53"/>
      <c r="H74" s="221">
        <f t="shared" si="5"/>
        <v>1</v>
      </c>
      <c r="I74" s="365" t="str">
        <f t="shared" si="3"/>
        <v>FEIL</v>
      </c>
      <c r="N74" s="354" t="s">
        <v>183</v>
      </c>
      <c r="O74" s="348" t="b">
        <f t="shared" si="6"/>
        <v>0</v>
      </c>
      <c r="R74" s="981" t="s">
        <v>760</v>
      </c>
      <c r="S74" s="1318"/>
      <c r="T74" s="989" t="s">
        <v>637</v>
      </c>
      <c r="U74" s="1047">
        <v>2</v>
      </c>
      <c r="V74" s="1060" t="s">
        <v>347</v>
      </c>
      <c r="W74" s="1044"/>
      <c r="AE74" s="981">
        <v>67</v>
      </c>
    </row>
    <row r="75" spans="1:31" x14ac:dyDescent="0.25">
      <c r="A75" s="96" t="s">
        <v>750</v>
      </c>
      <c r="B75" s="166" t="s">
        <v>697</v>
      </c>
      <c r="C75" s="917" t="s">
        <v>627</v>
      </c>
      <c r="D75" s="52">
        <f>Poeng!T169</f>
        <v>2</v>
      </c>
      <c r="E75" s="51"/>
      <c r="F75" s="52">
        <f>Poeng!AB169</f>
        <v>2</v>
      </c>
      <c r="H75" s="221">
        <f t="shared" si="5"/>
        <v>0</v>
      </c>
      <c r="I75" s="365" t="str">
        <f t="shared" ref="I75:I107" si="7">IF(F75=H75,"OK","FEIL")</f>
        <v>FEIL</v>
      </c>
      <c r="N75" s="354" t="s">
        <v>184</v>
      </c>
      <c r="O75" s="348" t="b">
        <f t="shared" si="6"/>
        <v>0</v>
      </c>
      <c r="R75" s="981" t="s">
        <v>761</v>
      </c>
      <c r="S75" s="1319"/>
      <c r="T75" s="989" t="s">
        <v>638</v>
      </c>
      <c r="U75" s="1052">
        <v>1</v>
      </c>
      <c r="V75" s="1063" t="s">
        <v>347</v>
      </c>
      <c r="W75" s="1044"/>
      <c r="AE75" s="981">
        <v>68</v>
      </c>
    </row>
    <row r="76" spans="1:31" s="367" customFormat="1" x14ac:dyDescent="0.25">
      <c r="A76" s="137" t="s">
        <v>137</v>
      </c>
      <c r="B76" s="942" t="s">
        <v>137</v>
      </c>
      <c r="C76" s="832" t="s">
        <v>129</v>
      </c>
      <c r="D76" s="50">
        <f>Poeng!T171</f>
        <v>2</v>
      </c>
      <c r="E76" s="49"/>
      <c r="F76" s="52">
        <f>Poeng!AB171</f>
        <v>2</v>
      </c>
      <c r="G76"/>
      <c r="H76" s="963">
        <f t="shared" si="5"/>
        <v>0</v>
      </c>
      <c r="I76" s="365" t="str">
        <f t="shared" si="7"/>
        <v>FEIL</v>
      </c>
      <c r="J76"/>
      <c r="K76"/>
      <c r="N76" s="369"/>
      <c r="Q76" s="981"/>
      <c r="R76" s="981" t="s">
        <v>763</v>
      </c>
      <c r="S76" s="991" t="s">
        <v>148</v>
      </c>
      <c r="T76" s="994" t="s">
        <v>845</v>
      </c>
      <c r="U76" s="1052">
        <v>10</v>
      </c>
      <c r="V76" s="1063" t="s">
        <v>347</v>
      </c>
      <c r="W76" s="1044"/>
      <c r="AE76" s="981">
        <v>69</v>
      </c>
    </row>
    <row r="77" spans="1:31" x14ac:dyDescent="0.25">
      <c r="A77" s="96" t="s">
        <v>751</v>
      </c>
      <c r="B77" s="163" t="s">
        <v>693</v>
      </c>
      <c r="C77" s="917" t="s">
        <v>628</v>
      </c>
      <c r="D77" s="50">
        <f>Poeng!T175</f>
        <v>3</v>
      </c>
      <c r="E77" s="49"/>
      <c r="F77" s="52">
        <f>Poeng!AB175</f>
        <v>3</v>
      </c>
      <c r="G77" s="367"/>
      <c r="H77" s="221">
        <f t="shared" si="5"/>
        <v>1</v>
      </c>
      <c r="I77" s="365"/>
      <c r="J77" s="367"/>
      <c r="K77" s="367"/>
      <c r="N77" s="350"/>
      <c r="O77" s="348" t="b">
        <f t="shared" si="6"/>
        <v>1</v>
      </c>
      <c r="R77" s="981"/>
      <c r="S77" s="987"/>
      <c r="T77" s="985"/>
      <c r="U77" s="1045"/>
      <c r="V77" s="1046"/>
      <c r="W77" s="1044"/>
      <c r="AE77" s="981">
        <v>70</v>
      </c>
    </row>
    <row r="78" spans="1:31" x14ac:dyDescent="0.25">
      <c r="A78" s="96" t="s">
        <v>752</v>
      </c>
      <c r="B78" s="163" t="s">
        <v>696</v>
      </c>
      <c r="C78" s="917" t="s">
        <v>629</v>
      </c>
      <c r="D78" s="50">
        <f>Poeng!T179</f>
        <v>4</v>
      </c>
      <c r="E78" s="49"/>
      <c r="F78" s="52">
        <f>Poeng!AB179</f>
        <v>4</v>
      </c>
      <c r="H78" s="1035">
        <f>H77</f>
        <v>1</v>
      </c>
      <c r="I78" s="365" t="str">
        <f t="shared" si="7"/>
        <v>FEIL</v>
      </c>
      <c r="N78" s="351" t="s">
        <v>380</v>
      </c>
      <c r="O78" s="348" t="b">
        <f t="shared" si="6"/>
        <v>0</v>
      </c>
      <c r="R78" s="981"/>
      <c r="S78" s="986" t="s">
        <v>364</v>
      </c>
      <c r="T78" s="985"/>
      <c r="U78" s="1045"/>
      <c r="V78" s="1046"/>
      <c r="W78" s="1044"/>
      <c r="AE78" s="981">
        <v>71</v>
      </c>
    </row>
    <row r="79" spans="1:31" x14ac:dyDescent="0.25">
      <c r="A79" s="96"/>
      <c r="B79" s="701" t="s">
        <v>138</v>
      </c>
      <c r="C79" s="700"/>
      <c r="D79" s="50">
        <f>Poeng!T183</f>
        <v>2</v>
      </c>
      <c r="E79" s="49"/>
      <c r="F79" s="52">
        <f>Poeng!AB183</f>
        <v>2</v>
      </c>
      <c r="H79" s="956">
        <f t="shared" si="5"/>
        <v>0</v>
      </c>
      <c r="I79" s="365" t="str">
        <f t="shared" si="7"/>
        <v>FEIL</v>
      </c>
      <c r="N79" s="354" t="s">
        <v>381</v>
      </c>
      <c r="O79" s="348" t="b">
        <f t="shared" si="6"/>
        <v>0</v>
      </c>
      <c r="R79" s="981" t="s">
        <v>764</v>
      </c>
      <c r="S79" s="991" t="s">
        <v>169</v>
      </c>
      <c r="T79" s="994" t="s">
        <v>365</v>
      </c>
      <c r="U79" s="1052">
        <v>5</v>
      </c>
      <c r="V79" s="1063" t="s">
        <v>347</v>
      </c>
      <c r="W79" s="1044"/>
      <c r="AE79" s="981">
        <v>72</v>
      </c>
    </row>
    <row r="80" spans="1:31" s="367" customFormat="1" x14ac:dyDescent="0.25">
      <c r="A80" s="137" t="s">
        <v>139</v>
      </c>
      <c r="B80" s="834" t="s">
        <v>139</v>
      </c>
      <c r="C80" s="832" t="s">
        <v>130</v>
      </c>
      <c r="D80" s="50">
        <f>Poeng!T187</f>
        <v>1</v>
      </c>
      <c r="E80" s="49"/>
      <c r="F80" s="52">
        <f>Poeng!AB187</f>
        <v>1</v>
      </c>
      <c r="G80"/>
      <c r="H80" s="963">
        <f t="shared" si="5"/>
        <v>0</v>
      </c>
      <c r="I80" s="365" t="str">
        <f t="shared" si="7"/>
        <v>FEIL</v>
      </c>
      <c r="J80"/>
      <c r="K80"/>
      <c r="N80" s="369"/>
      <c r="Q80" s="981"/>
      <c r="R80" s="981" t="s">
        <v>765</v>
      </c>
      <c r="S80" s="991" t="s">
        <v>170</v>
      </c>
      <c r="T80" s="994" t="s">
        <v>366</v>
      </c>
      <c r="U80" s="1052">
        <v>1</v>
      </c>
      <c r="V80" s="1063" t="s">
        <v>347</v>
      </c>
      <c r="W80" s="1044"/>
      <c r="AE80" s="981">
        <v>73</v>
      </c>
    </row>
    <row r="81" spans="1:31" s="367" customFormat="1" x14ac:dyDescent="0.25">
      <c r="A81" s="96" t="s">
        <v>753</v>
      </c>
      <c r="B81" s="163" t="s">
        <v>693</v>
      </c>
      <c r="C81" s="917" t="s">
        <v>630</v>
      </c>
      <c r="D81" s="50">
        <f>Poeng!T189</f>
        <v>2</v>
      </c>
      <c r="E81" s="49"/>
      <c r="F81" s="52">
        <f>Poeng!AB189</f>
        <v>2</v>
      </c>
      <c r="H81" s="221">
        <f t="shared" si="5"/>
        <v>0</v>
      </c>
      <c r="I81" s="365" t="str">
        <f t="shared" si="7"/>
        <v>FEIL</v>
      </c>
      <c r="N81" s="369"/>
      <c r="Q81" s="981"/>
      <c r="R81" s="981"/>
      <c r="S81" s="991" t="s">
        <v>171</v>
      </c>
      <c r="T81" s="1026" t="s">
        <v>367</v>
      </c>
      <c r="U81" s="1054"/>
      <c r="V81" s="1054"/>
      <c r="W81" s="1044"/>
      <c r="AE81" s="981">
        <v>74</v>
      </c>
    </row>
    <row r="82" spans="1:31" ht="15.75" thickBot="1" x14ac:dyDescent="0.3">
      <c r="A82" s="96" t="s">
        <v>754</v>
      </c>
      <c r="B82" s="163" t="s">
        <v>696</v>
      </c>
      <c r="C82" s="917" t="s">
        <v>631</v>
      </c>
      <c r="D82" s="50">
        <f>Poeng!T192</f>
        <v>3</v>
      </c>
      <c r="E82" s="69"/>
      <c r="F82" s="52">
        <f>Poeng!AB192</f>
        <v>3</v>
      </c>
      <c r="G82" s="367"/>
      <c r="H82" s="221">
        <f t="shared" si="5"/>
        <v>0</v>
      </c>
      <c r="I82" s="365" t="str">
        <f t="shared" si="7"/>
        <v>FEIL</v>
      </c>
      <c r="J82" s="367"/>
      <c r="K82" s="367"/>
      <c r="N82" s="354" t="s">
        <v>383</v>
      </c>
      <c r="O82" s="348" t="b">
        <f t="shared" si="6"/>
        <v>0</v>
      </c>
      <c r="R82" s="981" t="s">
        <v>766</v>
      </c>
      <c r="S82" s="991"/>
      <c r="T82" s="989" t="s">
        <v>643</v>
      </c>
      <c r="U82" s="1052" t="s">
        <v>235</v>
      </c>
      <c r="V82" s="1063" t="s">
        <v>347</v>
      </c>
      <c r="W82" s="1044"/>
      <c r="AE82" s="981">
        <v>75</v>
      </c>
    </row>
    <row r="83" spans="1:31" ht="15.75" thickBot="1" x14ac:dyDescent="0.3">
      <c r="A83" s="137" t="s">
        <v>140</v>
      </c>
      <c r="B83" s="834" t="s">
        <v>140</v>
      </c>
      <c r="C83" s="832" t="s">
        <v>131</v>
      </c>
      <c r="D83" s="56">
        <f>Poeng!T197</f>
        <v>19</v>
      </c>
      <c r="E83" s="56"/>
      <c r="F83" s="56">
        <f>SUM(F75:F82)</f>
        <v>19</v>
      </c>
      <c r="H83" s="963">
        <f t="shared" si="5"/>
        <v>0</v>
      </c>
      <c r="I83" s="365" t="str">
        <f t="shared" si="7"/>
        <v>FEIL</v>
      </c>
      <c r="N83" s="354" t="s">
        <v>384</v>
      </c>
      <c r="O83" s="348" t="b">
        <f t="shared" si="6"/>
        <v>0</v>
      </c>
      <c r="R83" s="981" t="s">
        <v>767</v>
      </c>
      <c r="S83" s="991"/>
      <c r="T83" s="989" t="s">
        <v>644</v>
      </c>
      <c r="U83" s="1052" t="s">
        <v>235</v>
      </c>
      <c r="V83" s="1063" t="s">
        <v>347</v>
      </c>
      <c r="W83" s="1044"/>
      <c r="AE83" s="981">
        <v>76</v>
      </c>
    </row>
    <row r="84" spans="1:31" ht="15.75" thickBot="1" x14ac:dyDescent="0.3">
      <c r="A84" s="96" t="s">
        <v>755</v>
      </c>
      <c r="B84" s="163" t="s">
        <v>693</v>
      </c>
      <c r="C84" s="917" t="s">
        <v>892</v>
      </c>
      <c r="D84" s="30"/>
      <c r="E84" s="30"/>
      <c r="H84" s="221">
        <f t="shared" si="5"/>
        <v>1</v>
      </c>
      <c r="I84" s="365" t="str">
        <f t="shared" si="7"/>
        <v>FEIL</v>
      </c>
      <c r="N84" s="354" t="s">
        <v>385</v>
      </c>
      <c r="O84" s="348" t="b">
        <f t="shared" si="6"/>
        <v>0</v>
      </c>
      <c r="R84" s="981" t="s">
        <v>768</v>
      </c>
      <c r="S84" s="991"/>
      <c r="T84" s="989" t="s">
        <v>645</v>
      </c>
      <c r="U84" s="1052" t="s">
        <v>235</v>
      </c>
      <c r="V84" s="1063" t="s">
        <v>347</v>
      </c>
      <c r="W84" s="1044"/>
      <c r="AE84" s="981">
        <v>77</v>
      </c>
    </row>
    <row r="85" spans="1:31" ht="15.75" thickBot="1" x14ac:dyDescent="0.3">
      <c r="A85" s="96" t="s">
        <v>756</v>
      </c>
      <c r="B85" s="163" t="s">
        <v>696</v>
      </c>
      <c r="C85" s="1011" t="s">
        <v>916</v>
      </c>
      <c r="D85" s="53"/>
      <c r="E85" s="53"/>
      <c r="F85" s="53"/>
      <c r="H85" s="1035">
        <f>IF(SUMIF($R$7:$R$182,A85,$U$7:$U$182)=2,1,SUMIF($R$7:$R$182,A85,$U$7:$U$182))</f>
        <v>1</v>
      </c>
      <c r="I85" s="365" t="str">
        <f t="shared" si="7"/>
        <v>FEIL</v>
      </c>
      <c r="J85" t="s">
        <v>943</v>
      </c>
      <c r="N85" s="354" t="s">
        <v>387</v>
      </c>
      <c r="O85" s="348" t="b">
        <f t="shared" si="6"/>
        <v>0</v>
      </c>
      <c r="R85" s="981" t="s">
        <v>769</v>
      </c>
      <c r="S85" s="991" t="s">
        <v>172</v>
      </c>
      <c r="T85" s="994" t="s">
        <v>368</v>
      </c>
      <c r="U85" s="1052">
        <v>1</v>
      </c>
      <c r="V85" s="1063" t="s">
        <v>347</v>
      </c>
      <c r="W85" s="1044"/>
      <c r="AE85" s="981">
        <v>78</v>
      </c>
    </row>
    <row r="86" spans="1:31" x14ac:dyDescent="0.25">
      <c r="A86" s="96" t="s">
        <v>918</v>
      </c>
      <c r="B86" s="163" t="s">
        <v>697</v>
      </c>
      <c r="C86" s="1011" t="s">
        <v>917</v>
      </c>
      <c r="D86" s="50">
        <f>Poeng!T200</f>
        <v>3</v>
      </c>
      <c r="E86" s="49"/>
      <c r="F86" s="52">
        <f>Poeng!AB200</f>
        <v>3</v>
      </c>
      <c r="H86" s="1035">
        <f>IF(SUMIF($R$7:$R$182,A85,$U$7:$U$182)=2,1,0)</f>
        <v>1</v>
      </c>
      <c r="I86" s="365" t="str">
        <f t="shared" si="7"/>
        <v>FEIL</v>
      </c>
      <c r="J86" s="981" t="s">
        <v>943</v>
      </c>
      <c r="N86" s="350"/>
      <c r="O86" s="348" t="b">
        <f t="shared" si="6"/>
        <v>1</v>
      </c>
      <c r="R86" s="981"/>
      <c r="S86" s="987"/>
      <c r="T86" s="985"/>
      <c r="U86" s="1045"/>
      <c r="V86" s="1046"/>
      <c r="W86" s="1044"/>
      <c r="AE86" s="981">
        <v>79</v>
      </c>
    </row>
    <row r="87" spans="1:31" ht="15" customHeight="1" x14ac:dyDescent="0.25">
      <c r="A87" s="137" t="s">
        <v>141</v>
      </c>
      <c r="B87" s="834" t="s">
        <v>141</v>
      </c>
      <c r="C87" s="832" t="s">
        <v>132</v>
      </c>
      <c r="D87" s="50">
        <f>Poeng!T204</f>
        <v>2</v>
      </c>
      <c r="E87" s="49"/>
      <c r="F87" s="52">
        <f>Poeng!AB204</f>
        <v>2</v>
      </c>
      <c r="H87" s="963">
        <f t="shared" si="5"/>
        <v>0</v>
      </c>
      <c r="I87" s="365" t="str">
        <f t="shared" si="7"/>
        <v>FEIL</v>
      </c>
      <c r="N87" s="350"/>
      <c r="O87" s="348" t="b">
        <f t="shared" si="6"/>
        <v>0</v>
      </c>
      <c r="R87" s="981"/>
      <c r="S87" s="986" t="s">
        <v>369</v>
      </c>
      <c r="T87" s="985"/>
      <c r="U87" s="1045"/>
      <c r="V87" s="1046"/>
      <c r="W87" s="1044"/>
      <c r="AE87" s="981">
        <v>80</v>
      </c>
    </row>
    <row r="88" spans="1:31" x14ac:dyDescent="0.25">
      <c r="A88" s="96" t="s">
        <v>757</v>
      </c>
      <c r="B88" s="163" t="s">
        <v>693</v>
      </c>
      <c r="C88" s="917" t="s">
        <v>634</v>
      </c>
      <c r="D88" s="50">
        <f>Poeng!T207</f>
        <v>0</v>
      </c>
      <c r="E88" s="49"/>
      <c r="F88" s="52">
        <f>Poeng!AB207</f>
        <v>0</v>
      </c>
      <c r="H88" s="221">
        <f t="shared" si="5"/>
        <v>0</v>
      </c>
      <c r="I88" s="365" t="str">
        <f t="shared" si="7"/>
        <v>OK</v>
      </c>
      <c r="N88" s="352" t="s">
        <v>389</v>
      </c>
      <c r="O88" s="348" t="b">
        <f t="shared" si="6"/>
        <v>0</v>
      </c>
      <c r="R88" s="981"/>
      <c r="S88" s="991" t="s">
        <v>173</v>
      </c>
      <c r="T88" s="1026" t="s">
        <v>846</v>
      </c>
      <c r="U88" s="1054"/>
      <c r="V88" s="1028"/>
      <c r="W88" s="1044"/>
      <c r="AE88" s="981">
        <v>81</v>
      </c>
    </row>
    <row r="89" spans="1:31" x14ac:dyDescent="0.25">
      <c r="A89" s="96" t="s">
        <v>758</v>
      </c>
      <c r="B89" s="163" t="s">
        <v>696</v>
      </c>
      <c r="C89" s="917" t="s">
        <v>635</v>
      </c>
      <c r="D89" s="50">
        <f>Poeng!T208</f>
        <v>1</v>
      </c>
      <c r="E89" s="49"/>
      <c r="F89" s="52">
        <f>Poeng!AB208</f>
        <v>1</v>
      </c>
      <c r="H89" s="221">
        <f t="shared" si="5"/>
        <v>0</v>
      </c>
      <c r="I89" s="365" t="str">
        <f t="shared" si="7"/>
        <v>FEIL</v>
      </c>
      <c r="N89" s="354" t="s">
        <v>96</v>
      </c>
      <c r="O89" s="348" t="b">
        <f t="shared" si="6"/>
        <v>0</v>
      </c>
      <c r="R89" s="981" t="s">
        <v>771</v>
      </c>
      <c r="S89" s="991"/>
      <c r="T89" s="989" t="s">
        <v>647</v>
      </c>
      <c r="U89" s="1047">
        <v>3</v>
      </c>
      <c r="V89" s="1057" t="s">
        <v>347</v>
      </c>
      <c r="W89" s="1044"/>
      <c r="AE89" s="981">
        <v>82</v>
      </c>
    </row>
    <row r="90" spans="1:31" ht="15.75" thickBot="1" x14ac:dyDescent="0.3">
      <c r="A90" s="137" t="s">
        <v>142</v>
      </c>
      <c r="B90" s="834" t="s">
        <v>142</v>
      </c>
      <c r="C90" s="832" t="s">
        <v>133</v>
      </c>
      <c r="D90" s="50">
        <f>Poeng!T211</f>
        <v>1</v>
      </c>
      <c r="E90" s="49"/>
      <c r="F90" s="52">
        <f>Poeng!AB211</f>
        <v>1</v>
      </c>
      <c r="H90" s="963">
        <f t="shared" si="5"/>
        <v>0</v>
      </c>
      <c r="I90" s="365" t="str">
        <f t="shared" si="7"/>
        <v>FEIL</v>
      </c>
      <c r="N90" s="354" t="s">
        <v>118</v>
      </c>
      <c r="O90" s="348" t="b">
        <f t="shared" si="6"/>
        <v>0</v>
      </c>
      <c r="R90" s="981" t="s">
        <v>772</v>
      </c>
      <c r="S90" s="991"/>
      <c r="T90" s="989" t="s">
        <v>648</v>
      </c>
      <c r="U90" s="1047">
        <v>2</v>
      </c>
      <c r="V90" s="1057" t="s">
        <v>347</v>
      </c>
      <c r="W90" s="1044"/>
      <c r="AE90" s="981">
        <v>83</v>
      </c>
    </row>
    <row r="91" spans="1:31" ht="15.75" thickBot="1" x14ac:dyDescent="0.3">
      <c r="A91" s="96" t="s">
        <v>759</v>
      </c>
      <c r="B91" s="166" t="s">
        <v>693</v>
      </c>
      <c r="C91" s="917" t="s">
        <v>636</v>
      </c>
      <c r="D91" s="56">
        <f>Poeng!T214</f>
        <v>7</v>
      </c>
      <c r="E91" s="56"/>
      <c r="F91" s="56">
        <f>SUM(F86:F90)</f>
        <v>7</v>
      </c>
      <c r="H91" s="221">
        <f t="shared" si="5"/>
        <v>0</v>
      </c>
      <c r="I91" s="365" t="str">
        <f t="shared" si="7"/>
        <v>FEIL</v>
      </c>
      <c r="N91" s="354" t="s">
        <v>362</v>
      </c>
      <c r="O91" s="348" t="b">
        <f t="shared" si="6"/>
        <v>0</v>
      </c>
      <c r="R91" s="981"/>
      <c r="S91" s="991" t="s">
        <v>478</v>
      </c>
      <c r="T91" s="1026" t="s">
        <v>847</v>
      </c>
      <c r="U91" s="1054"/>
      <c r="V91" s="1028"/>
      <c r="W91" s="1044"/>
      <c r="AE91" s="981">
        <v>84</v>
      </c>
    </row>
    <row r="92" spans="1:31" ht="15.75" thickBot="1" x14ac:dyDescent="0.3">
      <c r="A92" s="96"/>
      <c r="B92" s="701" t="s">
        <v>143</v>
      </c>
      <c r="C92" s="700"/>
      <c r="D92" s="30"/>
      <c r="E92" s="30"/>
      <c r="H92" s="956">
        <f t="shared" si="5"/>
        <v>0</v>
      </c>
      <c r="I92" s="365" t="str">
        <f t="shared" si="7"/>
        <v>OK</v>
      </c>
      <c r="N92" s="354" t="s">
        <v>363</v>
      </c>
      <c r="O92" s="348" t="b">
        <f t="shared" si="6"/>
        <v>0</v>
      </c>
      <c r="R92" s="981" t="s">
        <v>774</v>
      </c>
      <c r="S92" s="991"/>
      <c r="T92" s="989" t="s">
        <v>650</v>
      </c>
      <c r="U92" s="1047">
        <v>1</v>
      </c>
      <c r="V92" s="1057" t="s">
        <v>347</v>
      </c>
      <c r="W92" s="1044"/>
      <c r="AE92" s="981">
        <v>85</v>
      </c>
    </row>
    <row r="93" spans="1:31" ht="15.75" thickBot="1" x14ac:dyDescent="0.3">
      <c r="A93" s="96"/>
      <c r="B93" s="701" t="s">
        <v>144</v>
      </c>
      <c r="C93" s="700"/>
      <c r="D93" s="53"/>
      <c r="E93" s="53"/>
      <c r="F93" s="53"/>
      <c r="H93" s="956">
        <f t="shared" si="5"/>
        <v>0</v>
      </c>
      <c r="I93" s="365" t="str">
        <f t="shared" si="7"/>
        <v>OK</v>
      </c>
      <c r="N93" s="369" t="s">
        <v>169</v>
      </c>
      <c r="O93" s="367" t="b">
        <f t="shared" si="6"/>
        <v>0</v>
      </c>
      <c r="R93" s="981" t="s">
        <v>775</v>
      </c>
      <c r="S93" s="991"/>
      <c r="T93" s="989" t="s">
        <v>651</v>
      </c>
      <c r="U93" s="1047">
        <v>2</v>
      </c>
      <c r="V93" s="1057" t="s">
        <v>347</v>
      </c>
      <c r="W93" s="1044"/>
      <c r="AE93" s="981">
        <v>86</v>
      </c>
    </row>
    <row r="94" spans="1:31" ht="15.75" thickBot="1" x14ac:dyDescent="0.3">
      <c r="A94" s="96" t="s">
        <v>884</v>
      </c>
      <c r="B94" s="201"/>
      <c r="C94" s="202" t="s">
        <v>214</v>
      </c>
      <c r="D94" s="52">
        <f>Poeng!T217</f>
        <v>1</v>
      </c>
      <c r="E94" s="51"/>
      <c r="F94" s="52">
        <f>Poeng!AB217</f>
        <v>1</v>
      </c>
      <c r="H94" s="226">
        <f t="shared" si="5"/>
        <v>0</v>
      </c>
      <c r="I94" s="365" t="str">
        <f t="shared" si="7"/>
        <v>FEIL</v>
      </c>
      <c r="N94" s="354" t="s">
        <v>173</v>
      </c>
      <c r="O94" s="367" t="b">
        <f t="shared" si="6"/>
        <v>0</v>
      </c>
      <c r="R94" s="981"/>
      <c r="S94" s="991" t="s">
        <v>174</v>
      </c>
      <c r="T94" s="1026" t="s">
        <v>848</v>
      </c>
      <c r="U94" s="1054"/>
      <c r="V94" s="1028"/>
      <c r="W94" s="1044"/>
      <c r="AE94" s="981">
        <v>87</v>
      </c>
    </row>
    <row r="95" spans="1:31" ht="15.75" thickBot="1" x14ac:dyDescent="0.3">
      <c r="A95" s="96"/>
      <c r="B95" s="96"/>
      <c r="C95" s="96"/>
      <c r="D95" s="50">
        <f>Poeng!T218</f>
        <v>1</v>
      </c>
      <c r="E95" s="49"/>
      <c r="F95" s="52">
        <f>Poeng!AB218</f>
        <v>1</v>
      </c>
      <c r="H95" s="96">
        <f t="shared" si="5"/>
        <v>0</v>
      </c>
      <c r="I95" s="365" t="str">
        <f t="shared" si="7"/>
        <v>FEIL</v>
      </c>
      <c r="N95" s="354" t="s">
        <v>174</v>
      </c>
      <c r="O95" s="367" t="b">
        <f t="shared" si="6"/>
        <v>0</v>
      </c>
      <c r="R95" s="981" t="s">
        <v>777</v>
      </c>
      <c r="S95" s="991"/>
      <c r="T95" s="989" t="s">
        <v>653</v>
      </c>
      <c r="U95" s="1047">
        <v>1</v>
      </c>
      <c r="V95" s="1057" t="s">
        <v>347</v>
      </c>
      <c r="W95" s="1044"/>
      <c r="AE95" s="981">
        <v>88</v>
      </c>
    </row>
    <row r="96" spans="1:31" ht="15.75" thickBot="1" x14ac:dyDescent="0.3">
      <c r="A96" s="96"/>
      <c r="B96" s="145"/>
      <c r="C96" s="146" t="s">
        <v>67</v>
      </c>
      <c r="D96" s="50">
        <f>Poeng!T219</f>
        <v>1</v>
      </c>
      <c r="E96" s="49"/>
      <c r="F96" s="52">
        <f>Poeng!AB219</f>
        <v>1</v>
      </c>
      <c r="H96" s="138">
        <f t="shared" si="5"/>
        <v>0</v>
      </c>
      <c r="I96" s="365" t="str">
        <f t="shared" si="7"/>
        <v>FEIL</v>
      </c>
      <c r="N96" s="354" t="s">
        <v>177</v>
      </c>
      <c r="O96" s="367" t="b">
        <f t="shared" si="6"/>
        <v>0</v>
      </c>
      <c r="R96" s="981" t="s">
        <v>778</v>
      </c>
      <c r="S96" s="991"/>
      <c r="T96" s="989" t="s">
        <v>654</v>
      </c>
      <c r="U96" s="1047">
        <v>2</v>
      </c>
      <c r="V96" s="1057" t="s">
        <v>347</v>
      </c>
      <c r="W96" s="1044"/>
      <c r="AE96" s="981">
        <v>89</v>
      </c>
    </row>
    <row r="97" spans="1:31" x14ac:dyDescent="0.25">
      <c r="A97" s="137" t="s">
        <v>147</v>
      </c>
      <c r="B97" s="833" t="s">
        <v>147</v>
      </c>
      <c r="C97" s="831" t="s">
        <v>461</v>
      </c>
      <c r="D97" s="50">
        <f>Poeng!T220</f>
        <v>1</v>
      </c>
      <c r="E97" s="49"/>
      <c r="F97" s="52">
        <f>Poeng!AB220</f>
        <v>1</v>
      </c>
      <c r="H97" s="150">
        <f t="shared" si="5"/>
        <v>0</v>
      </c>
      <c r="I97" s="365" t="str">
        <f t="shared" si="7"/>
        <v>FEIL</v>
      </c>
      <c r="N97" t="s">
        <v>178</v>
      </c>
      <c r="O97" s="367" t="b">
        <f t="shared" si="6"/>
        <v>0</v>
      </c>
      <c r="R97" s="981"/>
      <c r="S97" s="991" t="s">
        <v>175</v>
      </c>
      <c r="T97" s="1026" t="s">
        <v>370</v>
      </c>
      <c r="U97" s="1054"/>
      <c r="V97" s="1028"/>
      <c r="W97" s="1044"/>
      <c r="AE97" s="981">
        <v>90</v>
      </c>
    </row>
    <row r="98" spans="1:31" x14ac:dyDescent="0.25">
      <c r="A98" s="96" t="s">
        <v>760</v>
      </c>
      <c r="B98" s="163" t="s">
        <v>693</v>
      </c>
      <c r="C98" s="917" t="s">
        <v>637</v>
      </c>
      <c r="D98" s="50">
        <f>Poeng!T221</f>
        <v>2</v>
      </c>
      <c r="E98" s="49"/>
      <c r="F98" s="52">
        <f>Poeng!AB221</f>
        <v>2</v>
      </c>
      <c r="H98" s="221">
        <f t="shared" si="5"/>
        <v>2</v>
      </c>
      <c r="I98" s="365" t="str">
        <f t="shared" si="7"/>
        <v>OK</v>
      </c>
      <c r="O98" s="348"/>
      <c r="R98" s="981" t="s">
        <v>780</v>
      </c>
      <c r="S98" s="993"/>
      <c r="T98" s="989" t="s">
        <v>656</v>
      </c>
      <c r="U98" s="1047">
        <v>1</v>
      </c>
      <c r="V98" s="1057" t="s">
        <v>347</v>
      </c>
      <c r="W98" s="1044"/>
      <c r="AE98" s="981">
        <v>91</v>
      </c>
    </row>
    <row r="99" spans="1:31" x14ac:dyDescent="0.25">
      <c r="A99" s="96" t="s">
        <v>761</v>
      </c>
      <c r="B99" s="163" t="s">
        <v>696</v>
      </c>
      <c r="C99" s="917" t="s">
        <v>638</v>
      </c>
      <c r="D99" s="50">
        <f>Poeng!T222</f>
        <v>1</v>
      </c>
      <c r="E99" s="49"/>
      <c r="F99" s="52">
        <f>Poeng!AB222</f>
        <v>1</v>
      </c>
      <c r="H99" s="221">
        <f t="shared" si="5"/>
        <v>1</v>
      </c>
      <c r="I99" s="365" t="str">
        <f t="shared" si="7"/>
        <v>OK</v>
      </c>
      <c r="O99" s="348"/>
      <c r="R99" s="981" t="s">
        <v>781</v>
      </c>
      <c r="S99" s="993"/>
      <c r="T99" s="989" t="s">
        <v>657</v>
      </c>
      <c r="U99" s="1047">
        <v>1</v>
      </c>
      <c r="V99" s="1057" t="s">
        <v>347</v>
      </c>
      <c r="W99" s="1044"/>
      <c r="AE99" s="981">
        <v>92</v>
      </c>
    </row>
    <row r="100" spans="1:31" x14ac:dyDescent="0.25">
      <c r="A100" s="137" t="s">
        <v>148</v>
      </c>
      <c r="B100" s="834" t="s">
        <v>148</v>
      </c>
      <c r="C100" s="832" t="s">
        <v>462</v>
      </c>
      <c r="D100" s="50">
        <f>Poeng!T223</f>
        <v>1</v>
      </c>
      <c r="E100" s="49"/>
      <c r="F100" s="52">
        <f>Poeng!AB223</f>
        <v>1</v>
      </c>
      <c r="H100" s="963">
        <f t="shared" si="5"/>
        <v>0</v>
      </c>
      <c r="I100" s="365" t="str">
        <f t="shared" si="7"/>
        <v>FEIL</v>
      </c>
      <c r="O100" s="348"/>
      <c r="R100" s="981" t="s">
        <v>782</v>
      </c>
      <c r="S100" s="993"/>
      <c r="T100" s="989" t="s">
        <v>658</v>
      </c>
      <c r="U100" s="1047">
        <v>2</v>
      </c>
      <c r="V100" s="1057" t="s">
        <v>347</v>
      </c>
      <c r="W100" s="1044"/>
      <c r="AE100" s="981">
        <v>93</v>
      </c>
    </row>
    <row r="101" spans="1:31" s="30" customFormat="1" x14ac:dyDescent="0.25">
      <c r="A101" s="96"/>
      <c r="B101" s="163" t="s">
        <v>693</v>
      </c>
      <c r="C101" s="917" t="s">
        <v>639</v>
      </c>
      <c r="D101" s="50">
        <f>Poeng!T224</f>
        <v>1</v>
      </c>
      <c r="E101" s="49"/>
      <c r="F101" s="52">
        <f>Poeng!AB224</f>
        <v>1</v>
      </c>
      <c r="G101"/>
      <c r="H101" s="221">
        <f t="shared" si="5"/>
        <v>0</v>
      </c>
      <c r="I101" s="365" t="str">
        <f t="shared" si="7"/>
        <v>FEIL</v>
      </c>
      <c r="J101"/>
      <c r="K101"/>
      <c r="Q101" s="981"/>
      <c r="R101" s="981"/>
      <c r="S101" s="991" t="s">
        <v>176</v>
      </c>
      <c r="T101" s="1026" t="s">
        <v>660</v>
      </c>
      <c r="U101" s="1054"/>
      <c r="V101" s="1028"/>
      <c r="W101" s="1044"/>
      <c r="AE101" s="981">
        <v>94</v>
      </c>
    </row>
    <row r="102" spans="1:31" s="367" customFormat="1" x14ac:dyDescent="0.25">
      <c r="A102" s="96" t="s">
        <v>763</v>
      </c>
      <c r="B102" s="163" t="s">
        <v>696</v>
      </c>
      <c r="C102" s="917" t="s">
        <v>640</v>
      </c>
      <c r="D102" s="50">
        <f>Poeng!T225</f>
        <v>1</v>
      </c>
      <c r="E102" s="49"/>
      <c r="F102" s="52">
        <f>D102-E102</f>
        <v>1</v>
      </c>
      <c r="G102" s="30"/>
      <c r="H102" s="221">
        <f t="shared" si="5"/>
        <v>10</v>
      </c>
      <c r="I102" s="365" t="str">
        <f t="shared" si="7"/>
        <v>FEIL</v>
      </c>
      <c r="J102" s="30"/>
      <c r="K102" s="30"/>
      <c r="Q102" s="981"/>
      <c r="R102" s="981" t="s">
        <v>783</v>
      </c>
      <c r="S102" s="993"/>
      <c r="T102" s="989" t="s">
        <v>659</v>
      </c>
      <c r="U102" s="1047">
        <v>1</v>
      </c>
      <c r="V102" s="1057" t="s">
        <v>347</v>
      </c>
      <c r="W102" s="1044"/>
      <c r="AE102" s="981">
        <v>95</v>
      </c>
    </row>
    <row r="103" spans="1:31" s="367" customFormat="1" x14ac:dyDescent="0.25">
      <c r="A103" s="96"/>
      <c r="B103" s="701" t="s">
        <v>149</v>
      </c>
      <c r="C103" s="700"/>
      <c r="D103" s="50">
        <f>Poeng!T226</f>
        <v>1</v>
      </c>
      <c r="E103" s="49"/>
      <c r="F103" s="52">
        <f t="shared" ref="F103:F106" si="8">D103-E103</f>
        <v>1</v>
      </c>
      <c r="H103" s="956">
        <f t="shared" si="5"/>
        <v>0</v>
      </c>
      <c r="I103" s="365"/>
      <c r="Q103" s="981"/>
      <c r="R103" s="981" t="s">
        <v>784</v>
      </c>
      <c r="S103" s="993"/>
      <c r="T103" s="989" t="s">
        <v>660</v>
      </c>
      <c r="U103" s="1047">
        <v>1</v>
      </c>
      <c r="V103" s="1057" t="s">
        <v>347</v>
      </c>
      <c r="W103" s="1044"/>
      <c r="AE103" s="981">
        <v>96</v>
      </c>
    </row>
    <row r="104" spans="1:31" s="367" customFormat="1" x14ac:dyDescent="0.25">
      <c r="A104" s="96"/>
      <c r="B104" s="701" t="s">
        <v>150</v>
      </c>
      <c r="C104" s="700"/>
      <c r="D104" s="50">
        <f>Poeng!T227</f>
        <v>1</v>
      </c>
      <c r="E104" s="49"/>
      <c r="F104" s="52">
        <f t="shared" si="8"/>
        <v>1</v>
      </c>
      <c r="H104" s="956">
        <f t="shared" si="5"/>
        <v>0</v>
      </c>
      <c r="I104" s="365"/>
      <c r="Q104" s="981"/>
      <c r="R104" s="981" t="s">
        <v>785</v>
      </c>
      <c r="S104" s="993"/>
      <c r="T104" s="989" t="s">
        <v>661</v>
      </c>
      <c r="U104" s="1047">
        <v>1</v>
      </c>
      <c r="V104" s="1057" t="s">
        <v>347</v>
      </c>
      <c r="W104" s="1044"/>
      <c r="AE104" s="981">
        <v>97</v>
      </c>
    </row>
    <row r="105" spans="1:31" s="367" customFormat="1" x14ac:dyDescent="0.25">
      <c r="A105" s="96"/>
      <c r="B105" s="701" t="s">
        <v>151</v>
      </c>
      <c r="C105" s="700"/>
      <c r="D105" s="50">
        <f>Poeng!T228</f>
        <v>1</v>
      </c>
      <c r="E105" s="49"/>
      <c r="F105" s="52">
        <f t="shared" si="8"/>
        <v>1</v>
      </c>
      <c r="H105" s="956">
        <f t="shared" si="5"/>
        <v>0</v>
      </c>
      <c r="I105" s="365"/>
      <c r="Q105" s="981"/>
      <c r="R105" s="981"/>
      <c r="S105" s="991" t="s">
        <v>479</v>
      </c>
      <c r="T105" s="1026" t="s">
        <v>849</v>
      </c>
      <c r="U105" s="1054"/>
      <c r="V105" s="1028"/>
      <c r="W105" s="1044"/>
      <c r="AE105" s="981">
        <v>98</v>
      </c>
    </row>
    <row r="106" spans="1:31" ht="15.75" thickBot="1" x14ac:dyDescent="0.3">
      <c r="A106" s="96"/>
      <c r="B106" s="705" t="s">
        <v>314</v>
      </c>
      <c r="C106" s="706"/>
      <c r="D106" s="50">
        <f>Poeng!T229</f>
        <v>1</v>
      </c>
      <c r="E106" s="49"/>
      <c r="F106" s="52">
        <f t="shared" si="8"/>
        <v>1</v>
      </c>
      <c r="G106" s="367"/>
      <c r="H106" s="956">
        <f t="shared" si="5"/>
        <v>0</v>
      </c>
      <c r="I106" s="365"/>
      <c r="J106" s="367"/>
      <c r="K106" s="367"/>
      <c r="R106" s="981" t="s">
        <v>786</v>
      </c>
      <c r="S106" s="993"/>
      <c r="T106" s="989" t="s">
        <v>662</v>
      </c>
      <c r="U106" s="1047">
        <v>1</v>
      </c>
      <c r="V106" s="1057" t="s">
        <v>347</v>
      </c>
      <c r="W106" s="1044"/>
      <c r="AE106" s="981">
        <v>99</v>
      </c>
    </row>
    <row r="107" spans="1:31" ht="15.75" thickBot="1" x14ac:dyDescent="0.3">
      <c r="A107" s="96" t="s">
        <v>885</v>
      </c>
      <c r="B107" s="201"/>
      <c r="C107" s="202" t="s">
        <v>214</v>
      </c>
      <c r="D107" s="56">
        <f>Poeng!T231</f>
        <v>10</v>
      </c>
      <c r="E107" s="56"/>
      <c r="F107" s="56">
        <f>IF(SUM(F94:F106)&gt;10,10,SUM(F94:F106))</f>
        <v>10</v>
      </c>
      <c r="H107" s="226">
        <f t="shared" si="5"/>
        <v>0</v>
      </c>
      <c r="I107" s="365" t="str">
        <f t="shared" si="7"/>
        <v>FEIL</v>
      </c>
      <c r="R107" s="981" t="s">
        <v>787</v>
      </c>
      <c r="S107" s="993"/>
      <c r="T107" s="989" t="s">
        <v>663</v>
      </c>
      <c r="U107" s="1047">
        <v>1</v>
      </c>
      <c r="V107" s="1057" t="s">
        <v>347</v>
      </c>
      <c r="W107" s="1044"/>
      <c r="AE107" s="981">
        <v>100</v>
      </c>
    </row>
    <row r="108" spans="1:31" ht="15.75" thickBot="1" x14ac:dyDescent="0.3">
      <c r="A108" s="96"/>
      <c r="B108" s="96"/>
      <c r="C108" s="96"/>
      <c r="H108" s="96">
        <f t="shared" si="5"/>
        <v>0</v>
      </c>
      <c r="R108" s="981" t="s">
        <v>788</v>
      </c>
      <c r="S108" s="993"/>
      <c r="T108" s="989" t="s">
        <v>850</v>
      </c>
      <c r="U108" s="1047">
        <v>1</v>
      </c>
      <c r="V108" s="1057" t="s">
        <v>347</v>
      </c>
      <c r="W108" s="1044"/>
      <c r="AE108" s="981">
        <v>101</v>
      </c>
    </row>
    <row r="109" spans="1:31" ht="15.75" thickBot="1" x14ac:dyDescent="0.3">
      <c r="A109" s="96"/>
      <c r="B109" s="145"/>
      <c r="C109" s="146" t="s">
        <v>59</v>
      </c>
      <c r="H109" s="138">
        <f t="shared" si="5"/>
        <v>0</v>
      </c>
      <c r="R109" s="981"/>
      <c r="S109" s="986" t="s">
        <v>371</v>
      </c>
      <c r="T109" s="985"/>
      <c r="U109" s="1045"/>
      <c r="V109" s="1046"/>
      <c r="W109" s="1044"/>
      <c r="AE109" s="981">
        <v>102</v>
      </c>
    </row>
    <row r="110" spans="1:31" ht="15" customHeight="1" x14ac:dyDescent="0.25">
      <c r="A110" s="137" t="s">
        <v>169</v>
      </c>
      <c r="B110" s="833" t="s">
        <v>169</v>
      </c>
      <c r="C110" s="831" t="s">
        <v>152</v>
      </c>
      <c r="H110" s="961">
        <f t="shared" si="5"/>
        <v>0</v>
      </c>
      <c r="R110" s="981"/>
      <c r="S110" s="996" t="s">
        <v>177</v>
      </c>
      <c r="T110" s="999" t="s">
        <v>372</v>
      </c>
      <c r="U110" s="1056"/>
      <c r="V110" s="1064"/>
      <c r="W110" s="1044"/>
      <c r="AE110" s="981">
        <v>103</v>
      </c>
    </row>
    <row r="111" spans="1:31" ht="15" customHeight="1" x14ac:dyDescent="0.25">
      <c r="A111" s="96" t="s">
        <v>764</v>
      </c>
      <c r="B111" s="163" t="s">
        <v>693</v>
      </c>
      <c r="C111" s="917" t="s">
        <v>641</v>
      </c>
      <c r="H111" s="221">
        <f t="shared" si="5"/>
        <v>5</v>
      </c>
      <c r="R111" s="981" t="s">
        <v>789</v>
      </c>
      <c r="S111" s="991"/>
      <c r="T111" s="989" t="s">
        <v>665</v>
      </c>
      <c r="U111" s="1047">
        <v>1</v>
      </c>
      <c r="V111" s="1057" t="s">
        <v>347</v>
      </c>
      <c r="W111" s="1044"/>
      <c r="AE111" s="981">
        <v>104</v>
      </c>
    </row>
    <row r="112" spans="1:31" ht="15" customHeight="1" x14ac:dyDescent="0.25">
      <c r="A112" s="137" t="s">
        <v>170</v>
      </c>
      <c r="B112" s="834" t="s">
        <v>170</v>
      </c>
      <c r="C112" s="832" t="s">
        <v>153</v>
      </c>
      <c r="H112" s="963">
        <f t="shared" si="5"/>
        <v>0</v>
      </c>
      <c r="R112" s="981" t="s">
        <v>790</v>
      </c>
      <c r="S112" s="991"/>
      <c r="T112" s="989" t="s">
        <v>666</v>
      </c>
      <c r="U112" s="1047">
        <v>2</v>
      </c>
      <c r="V112" s="1057" t="s">
        <v>347</v>
      </c>
      <c r="W112" s="1044"/>
      <c r="AE112" s="981">
        <v>105</v>
      </c>
    </row>
    <row r="113" spans="1:31" ht="15" customHeight="1" x14ac:dyDescent="0.25">
      <c r="A113" s="96" t="s">
        <v>765</v>
      </c>
      <c r="B113" s="166" t="s">
        <v>693</v>
      </c>
      <c r="C113" s="917" t="s">
        <v>642</v>
      </c>
      <c r="H113" s="221">
        <f t="shared" si="5"/>
        <v>1</v>
      </c>
      <c r="R113" s="981" t="s">
        <v>791</v>
      </c>
      <c r="S113" s="991"/>
      <c r="T113" s="989" t="s">
        <v>667</v>
      </c>
      <c r="U113" s="1047">
        <v>2</v>
      </c>
      <c r="V113" s="1057" t="s">
        <v>347</v>
      </c>
      <c r="W113" s="1044"/>
      <c r="AE113" s="981">
        <v>106</v>
      </c>
    </row>
    <row r="114" spans="1:31" ht="15" customHeight="1" x14ac:dyDescent="0.25">
      <c r="A114" s="137" t="s">
        <v>171</v>
      </c>
      <c r="B114" s="834" t="s">
        <v>171</v>
      </c>
      <c r="C114" s="832" t="s">
        <v>154</v>
      </c>
      <c r="H114" s="963">
        <f t="shared" si="5"/>
        <v>0</v>
      </c>
      <c r="R114" s="981" t="s">
        <v>792</v>
      </c>
      <c r="S114" s="996" t="s">
        <v>373</v>
      </c>
      <c r="T114" s="994" t="s">
        <v>374</v>
      </c>
      <c r="U114" s="1047">
        <v>1</v>
      </c>
      <c r="V114" s="1057" t="s">
        <v>347</v>
      </c>
      <c r="W114" s="1044"/>
      <c r="AE114" s="981">
        <v>107</v>
      </c>
    </row>
    <row r="115" spans="1:31" ht="15" customHeight="1" x14ac:dyDescent="0.25">
      <c r="A115" s="96" t="s">
        <v>766</v>
      </c>
      <c r="B115" s="163" t="s">
        <v>693</v>
      </c>
      <c r="C115" s="917" t="s">
        <v>643</v>
      </c>
      <c r="H115" s="221">
        <f t="shared" si="5"/>
        <v>0</v>
      </c>
      <c r="R115" s="981" t="s">
        <v>793</v>
      </c>
      <c r="S115" s="996" t="s">
        <v>375</v>
      </c>
      <c r="T115" s="994" t="s">
        <v>374</v>
      </c>
      <c r="U115" s="1047" t="s">
        <v>235</v>
      </c>
      <c r="V115" s="1057" t="s">
        <v>347</v>
      </c>
      <c r="W115" s="1044"/>
      <c r="AE115" s="981">
        <v>108</v>
      </c>
    </row>
    <row r="116" spans="1:31" ht="15.75" customHeight="1" x14ac:dyDescent="0.25">
      <c r="A116" s="96" t="s">
        <v>767</v>
      </c>
      <c r="B116" s="163" t="s">
        <v>696</v>
      </c>
      <c r="C116" s="917" t="s">
        <v>919</v>
      </c>
      <c r="H116" s="221">
        <f t="shared" si="5"/>
        <v>0</v>
      </c>
      <c r="R116" s="981" t="s">
        <v>794</v>
      </c>
      <c r="S116" s="996" t="s">
        <v>179</v>
      </c>
      <c r="T116" s="994" t="s">
        <v>376</v>
      </c>
      <c r="U116" s="1047" t="s">
        <v>235</v>
      </c>
      <c r="V116" s="1057" t="s">
        <v>347</v>
      </c>
      <c r="W116" s="1044"/>
      <c r="AE116" s="981">
        <v>109</v>
      </c>
    </row>
    <row r="117" spans="1:31" ht="15" customHeight="1" x14ac:dyDescent="0.25">
      <c r="A117" s="96" t="s">
        <v>768</v>
      </c>
      <c r="B117" s="166" t="s">
        <v>697</v>
      </c>
      <c r="C117" s="917" t="s">
        <v>645</v>
      </c>
      <c r="H117" s="221">
        <f t="shared" si="5"/>
        <v>0</v>
      </c>
      <c r="R117" s="981"/>
      <c r="S117" s="987"/>
      <c r="T117" s="985"/>
      <c r="U117" s="1045"/>
      <c r="V117" s="1046"/>
      <c r="W117" s="1044"/>
      <c r="AE117" s="981">
        <v>110</v>
      </c>
    </row>
    <row r="118" spans="1:31" ht="15" customHeight="1" x14ac:dyDescent="0.25">
      <c r="A118" s="137" t="s">
        <v>172</v>
      </c>
      <c r="B118" s="834" t="s">
        <v>172</v>
      </c>
      <c r="C118" s="832" t="s">
        <v>155</v>
      </c>
      <c r="H118" s="963">
        <f t="shared" si="5"/>
        <v>0</v>
      </c>
      <c r="R118" s="981"/>
      <c r="S118" s="986" t="s">
        <v>377</v>
      </c>
      <c r="T118" s="985"/>
      <c r="U118" s="1045"/>
      <c r="V118" s="1046"/>
      <c r="W118" s="1044"/>
      <c r="AE118" s="981">
        <v>111</v>
      </c>
    </row>
    <row r="119" spans="1:31" ht="15" customHeight="1" thickBot="1" x14ac:dyDescent="0.3">
      <c r="A119" s="96" t="s">
        <v>769</v>
      </c>
      <c r="B119" s="231" t="s">
        <v>693</v>
      </c>
      <c r="C119" s="917" t="s">
        <v>368</v>
      </c>
      <c r="H119" s="221">
        <f t="shared" si="5"/>
        <v>1</v>
      </c>
      <c r="R119" s="981" t="s">
        <v>797</v>
      </c>
      <c r="S119" s="996" t="s">
        <v>180</v>
      </c>
      <c r="T119" s="994" t="s">
        <v>378</v>
      </c>
      <c r="U119" s="1047">
        <v>2</v>
      </c>
      <c r="V119" s="1057" t="s">
        <v>347</v>
      </c>
      <c r="W119" s="1044"/>
      <c r="AE119" s="981">
        <v>112</v>
      </c>
    </row>
    <row r="120" spans="1:31" ht="15" customHeight="1" thickBot="1" x14ac:dyDescent="0.3">
      <c r="A120" s="96" t="s">
        <v>886</v>
      </c>
      <c r="B120" s="201"/>
      <c r="C120" s="202" t="s">
        <v>214</v>
      </c>
      <c r="H120" s="226">
        <f t="shared" si="5"/>
        <v>0</v>
      </c>
      <c r="R120" s="981"/>
      <c r="S120" s="996" t="s">
        <v>181</v>
      </c>
      <c r="T120" s="1026" t="s">
        <v>851</v>
      </c>
      <c r="U120" s="1054"/>
      <c r="V120" s="1028"/>
      <c r="W120" s="1044"/>
      <c r="AE120" s="981">
        <v>113</v>
      </c>
    </row>
    <row r="121" spans="1:31" ht="15.75" thickBot="1" x14ac:dyDescent="0.3">
      <c r="A121" s="96"/>
      <c r="B121" s="96"/>
      <c r="C121" s="96"/>
      <c r="H121" s="96">
        <f t="shared" si="5"/>
        <v>0</v>
      </c>
      <c r="R121" s="981" t="s">
        <v>799</v>
      </c>
      <c r="S121" s="991"/>
      <c r="T121" s="989" t="s">
        <v>673</v>
      </c>
      <c r="U121" s="1047">
        <v>1</v>
      </c>
      <c r="V121" s="1057" t="s">
        <v>347</v>
      </c>
      <c r="W121" s="1044"/>
      <c r="AE121" s="981">
        <v>114</v>
      </c>
    </row>
    <row r="122" spans="1:31" ht="15.75" thickBot="1" x14ac:dyDescent="0.3">
      <c r="A122" s="96"/>
      <c r="B122" s="151"/>
      <c r="C122" s="152" t="s">
        <v>68</v>
      </c>
      <c r="H122" s="138">
        <f t="shared" si="5"/>
        <v>0</v>
      </c>
      <c r="R122" s="981" t="s">
        <v>800</v>
      </c>
      <c r="S122" s="991"/>
      <c r="T122" s="989" t="s">
        <v>674</v>
      </c>
      <c r="U122" s="1047">
        <v>1</v>
      </c>
      <c r="V122" s="1057" t="s">
        <v>347</v>
      </c>
      <c r="W122" s="1044"/>
      <c r="AE122" s="981">
        <v>115</v>
      </c>
    </row>
    <row r="123" spans="1:31" x14ac:dyDescent="0.25">
      <c r="A123" s="137" t="s">
        <v>173</v>
      </c>
      <c r="B123" s="858" t="s">
        <v>173</v>
      </c>
      <c r="C123" s="859" t="s">
        <v>463</v>
      </c>
      <c r="H123" s="961">
        <f t="shared" si="5"/>
        <v>0</v>
      </c>
      <c r="R123" s="981"/>
      <c r="S123" s="996" t="s">
        <v>852</v>
      </c>
      <c r="T123" s="999" t="s">
        <v>853</v>
      </c>
      <c r="U123" s="1056"/>
      <c r="V123" s="1064"/>
      <c r="W123" s="1044"/>
      <c r="AE123" s="981">
        <v>116</v>
      </c>
    </row>
    <row r="124" spans="1:31" x14ac:dyDescent="0.25">
      <c r="A124" s="137"/>
      <c r="B124" s="166" t="s">
        <v>693</v>
      </c>
      <c r="C124" s="940" t="s">
        <v>646</v>
      </c>
      <c r="H124" s="221">
        <f t="shared" si="5"/>
        <v>0</v>
      </c>
      <c r="R124" s="981" t="s">
        <v>802</v>
      </c>
      <c r="S124" s="991"/>
      <c r="T124" s="989" t="s">
        <v>676</v>
      </c>
      <c r="U124" s="1047" t="s">
        <v>235</v>
      </c>
      <c r="V124" s="1057" t="s">
        <v>347</v>
      </c>
      <c r="W124" s="1044"/>
      <c r="AE124" s="981">
        <v>117</v>
      </c>
    </row>
    <row r="125" spans="1:31" x14ac:dyDescent="0.25">
      <c r="A125" s="96" t="s">
        <v>771</v>
      </c>
      <c r="B125" s="166" t="s">
        <v>696</v>
      </c>
      <c r="C125" s="917" t="s">
        <v>647</v>
      </c>
      <c r="H125" s="221">
        <f t="shared" si="5"/>
        <v>3</v>
      </c>
      <c r="R125" s="981" t="s">
        <v>803</v>
      </c>
      <c r="S125" s="991"/>
      <c r="T125" s="989" t="s">
        <v>677</v>
      </c>
      <c r="U125" s="1047" t="s">
        <v>235</v>
      </c>
      <c r="V125" s="1057" t="s">
        <v>347</v>
      </c>
      <c r="W125" s="1044"/>
      <c r="AE125" s="981">
        <v>118</v>
      </c>
    </row>
    <row r="126" spans="1:31" x14ac:dyDescent="0.25">
      <c r="A126" s="96" t="s">
        <v>772</v>
      </c>
      <c r="B126" s="188" t="s">
        <v>697</v>
      </c>
      <c r="C126" s="917" t="s">
        <v>648</v>
      </c>
      <c r="H126" s="221">
        <f t="shared" si="5"/>
        <v>2</v>
      </c>
      <c r="R126" s="981"/>
      <c r="S126" s="996" t="s">
        <v>182</v>
      </c>
      <c r="T126" s="1026" t="s">
        <v>854</v>
      </c>
      <c r="U126" s="1054"/>
      <c r="V126" s="1028"/>
      <c r="W126" s="1044"/>
      <c r="AE126" s="981">
        <v>119</v>
      </c>
    </row>
    <row r="127" spans="1:31" x14ac:dyDescent="0.25">
      <c r="A127" s="137" t="s">
        <v>478</v>
      </c>
      <c r="B127" s="946" t="s">
        <v>478</v>
      </c>
      <c r="C127" s="832" t="s">
        <v>464</v>
      </c>
      <c r="H127" s="963">
        <f t="shared" si="5"/>
        <v>0</v>
      </c>
      <c r="R127" s="981" t="s">
        <v>805</v>
      </c>
      <c r="S127" s="991"/>
      <c r="T127" s="989" t="s">
        <v>679</v>
      </c>
      <c r="U127" s="1047">
        <v>1</v>
      </c>
      <c r="V127" s="1057" t="s">
        <v>347</v>
      </c>
      <c r="W127" s="1044"/>
      <c r="AE127" s="981">
        <v>120</v>
      </c>
    </row>
    <row r="128" spans="1:31" x14ac:dyDescent="0.25">
      <c r="A128" s="137"/>
      <c r="B128" s="188" t="s">
        <v>693</v>
      </c>
      <c r="C128" s="940" t="s">
        <v>649</v>
      </c>
      <c r="H128" s="221">
        <f t="shared" si="5"/>
        <v>0</v>
      </c>
      <c r="R128" s="981" t="s">
        <v>806</v>
      </c>
      <c r="S128" s="991"/>
      <c r="T128" s="989" t="s">
        <v>680</v>
      </c>
      <c r="U128" s="1047">
        <v>3</v>
      </c>
      <c r="V128" s="1057" t="s">
        <v>347</v>
      </c>
      <c r="W128" s="1044"/>
      <c r="AE128" s="981">
        <v>121</v>
      </c>
    </row>
    <row r="129" spans="1:31" x14ac:dyDescent="0.25">
      <c r="A129" s="96" t="s">
        <v>774</v>
      </c>
      <c r="B129" s="188" t="s">
        <v>696</v>
      </c>
      <c r="C129" s="917" t="s">
        <v>650</v>
      </c>
      <c r="H129" s="221">
        <f t="shared" si="5"/>
        <v>1</v>
      </c>
      <c r="R129" s="981"/>
      <c r="S129" s="996" t="s">
        <v>183</v>
      </c>
      <c r="T129" s="1026" t="s">
        <v>379</v>
      </c>
      <c r="U129" s="1054"/>
      <c r="V129" s="1028"/>
      <c r="W129" s="1044"/>
      <c r="AE129" s="981">
        <v>122</v>
      </c>
    </row>
    <row r="130" spans="1:31" x14ac:dyDescent="0.25">
      <c r="A130" s="96" t="s">
        <v>775</v>
      </c>
      <c r="B130" s="188" t="s">
        <v>697</v>
      </c>
      <c r="C130" s="917" t="s">
        <v>651</v>
      </c>
      <c r="H130" s="221">
        <f t="shared" si="5"/>
        <v>2</v>
      </c>
      <c r="R130" s="981" t="s">
        <v>808</v>
      </c>
      <c r="S130" s="991"/>
      <c r="T130" s="989" t="s">
        <v>682</v>
      </c>
      <c r="U130" s="1047">
        <v>1</v>
      </c>
      <c r="V130" s="1057" t="s">
        <v>347</v>
      </c>
      <c r="W130" s="1044"/>
      <c r="AE130" s="981">
        <v>123</v>
      </c>
    </row>
    <row r="131" spans="1:31" x14ac:dyDescent="0.25">
      <c r="A131" s="137" t="s">
        <v>174</v>
      </c>
      <c r="B131" s="946" t="s">
        <v>174</v>
      </c>
      <c r="C131" s="832" t="s">
        <v>465</v>
      </c>
      <c r="H131" s="963">
        <f t="shared" si="5"/>
        <v>0</v>
      </c>
      <c r="R131" s="981" t="s">
        <v>809</v>
      </c>
      <c r="S131" s="991"/>
      <c r="T131" s="989" t="s">
        <v>683</v>
      </c>
      <c r="U131" s="1047">
        <v>1</v>
      </c>
      <c r="V131" s="1057" t="s">
        <v>347</v>
      </c>
      <c r="W131" s="1044"/>
      <c r="AE131" s="981">
        <v>124</v>
      </c>
    </row>
    <row r="132" spans="1:31" x14ac:dyDescent="0.25">
      <c r="A132" s="96"/>
      <c r="B132" s="188" t="s">
        <v>693</v>
      </c>
      <c r="C132" s="945" t="s">
        <v>652</v>
      </c>
      <c r="H132" s="221">
        <f t="shared" si="5"/>
        <v>0</v>
      </c>
      <c r="R132" s="981" t="s">
        <v>810</v>
      </c>
      <c r="S132" s="996" t="s">
        <v>184</v>
      </c>
      <c r="T132" s="994" t="s">
        <v>855</v>
      </c>
      <c r="U132" s="1047">
        <v>1</v>
      </c>
      <c r="V132" s="1057" t="s">
        <v>347</v>
      </c>
      <c r="W132" s="1044"/>
      <c r="AE132" s="981">
        <v>125</v>
      </c>
    </row>
    <row r="133" spans="1:31" x14ac:dyDescent="0.25">
      <c r="A133" s="96" t="s">
        <v>777</v>
      </c>
      <c r="B133" s="188" t="s">
        <v>696</v>
      </c>
      <c r="C133" s="917" t="s">
        <v>653</v>
      </c>
      <c r="H133" s="221">
        <f t="shared" si="5"/>
        <v>1</v>
      </c>
      <c r="R133" s="981" t="s">
        <v>812</v>
      </c>
      <c r="S133" s="997" t="s">
        <v>856</v>
      </c>
      <c r="T133" s="998" t="s">
        <v>857</v>
      </c>
      <c r="U133" s="1047">
        <v>2</v>
      </c>
      <c r="V133" s="1057" t="s">
        <v>347</v>
      </c>
      <c r="W133" s="1044"/>
      <c r="AE133" s="981">
        <v>126</v>
      </c>
    </row>
    <row r="134" spans="1:31" x14ac:dyDescent="0.25">
      <c r="A134" s="96" t="s">
        <v>778</v>
      </c>
      <c r="B134" s="188" t="s">
        <v>697</v>
      </c>
      <c r="C134" s="917" t="s">
        <v>654</v>
      </c>
      <c r="H134" s="221">
        <f t="shared" si="5"/>
        <v>2</v>
      </c>
      <c r="R134" s="981"/>
      <c r="S134" s="997" t="s">
        <v>858</v>
      </c>
      <c r="T134" s="1034" t="s">
        <v>859</v>
      </c>
      <c r="U134" s="1056"/>
      <c r="V134" s="1064"/>
      <c r="W134" s="1044"/>
      <c r="AE134" s="981">
        <v>127</v>
      </c>
    </row>
    <row r="135" spans="1:31" x14ac:dyDescent="0.25">
      <c r="A135" s="137" t="s">
        <v>175</v>
      </c>
      <c r="B135" s="946" t="s">
        <v>175</v>
      </c>
      <c r="C135" s="832" t="s">
        <v>466</v>
      </c>
      <c r="H135" s="963">
        <f t="shared" si="5"/>
        <v>0</v>
      </c>
      <c r="R135" s="981" t="s">
        <v>814</v>
      </c>
      <c r="S135" s="993"/>
      <c r="T135" s="989" t="s">
        <v>688</v>
      </c>
      <c r="U135" s="1047">
        <v>1</v>
      </c>
      <c r="V135" s="1057" t="s">
        <v>347</v>
      </c>
      <c r="W135" s="1044"/>
      <c r="AE135" s="981">
        <v>128</v>
      </c>
    </row>
    <row r="136" spans="1:31" s="981" customFormat="1" x14ac:dyDescent="0.25">
      <c r="A136" s="96"/>
      <c r="B136" s="188" t="s">
        <v>693</v>
      </c>
      <c r="C136" s="940" t="s">
        <v>655</v>
      </c>
      <c r="D136"/>
      <c r="E136"/>
      <c r="F136" s="30"/>
      <c r="G136"/>
      <c r="H136" s="221">
        <f t="shared" ref="H136:H198" si="9">SUMIF($R$7:$R$182,A136,$U$7:$U$182)</f>
        <v>0</v>
      </c>
      <c r="I136"/>
      <c r="J136"/>
      <c r="K136"/>
      <c r="R136" s="981" t="s">
        <v>815</v>
      </c>
      <c r="S136" s="993"/>
      <c r="T136" s="989" t="s">
        <v>689</v>
      </c>
      <c r="U136" s="1047">
        <v>1</v>
      </c>
      <c r="V136" s="1057" t="s">
        <v>347</v>
      </c>
      <c r="W136" s="1044"/>
      <c r="X136"/>
      <c r="Y136"/>
      <c r="Z136"/>
      <c r="AA136"/>
      <c r="AB136"/>
      <c r="AC136"/>
      <c r="AD136"/>
      <c r="AE136" s="981">
        <v>129</v>
      </c>
    </row>
    <row r="137" spans="1:31" x14ac:dyDescent="0.25">
      <c r="A137" s="96" t="s">
        <v>780</v>
      </c>
      <c r="B137" s="188" t="s">
        <v>696</v>
      </c>
      <c r="C137" s="917" t="s">
        <v>656</v>
      </c>
      <c r="D137" s="981"/>
      <c r="E137" s="981"/>
      <c r="F137" s="981"/>
      <c r="G137" s="981"/>
      <c r="H137" s="221">
        <f t="shared" si="9"/>
        <v>1</v>
      </c>
      <c r="I137" s="981"/>
      <c r="J137" s="981"/>
      <c r="K137" s="981"/>
      <c r="R137" s="981"/>
      <c r="S137" s="993"/>
      <c r="T137" s="995"/>
      <c r="U137" s="1053"/>
      <c r="V137" s="1046"/>
      <c r="W137" s="1044"/>
      <c r="AE137" s="981">
        <v>130</v>
      </c>
    </row>
    <row r="138" spans="1:31" x14ac:dyDescent="0.25">
      <c r="A138" s="96" t="s">
        <v>781</v>
      </c>
      <c r="B138" s="188" t="s">
        <v>697</v>
      </c>
      <c r="C138" s="917" t="s">
        <v>657</v>
      </c>
      <c r="H138" s="221">
        <f t="shared" si="9"/>
        <v>1</v>
      </c>
      <c r="R138" s="981"/>
      <c r="S138" s="986" t="s">
        <v>380</v>
      </c>
      <c r="T138" s="985"/>
      <c r="U138" s="1045"/>
      <c r="V138" s="1046"/>
      <c r="W138" s="1044"/>
      <c r="AE138" s="981">
        <v>131</v>
      </c>
    </row>
    <row r="139" spans="1:31" x14ac:dyDescent="0.25">
      <c r="A139" s="96" t="s">
        <v>782</v>
      </c>
      <c r="B139" s="188" t="s">
        <v>695</v>
      </c>
      <c r="C139" s="1011" t="s">
        <v>893</v>
      </c>
      <c r="H139" s="1035">
        <f>IF(SUMIF($R$7:$R$182,A139,$U$7:$U$182)=2,1,SUMIF($R$7:$R$182,A139,$U$7:$U$182))</f>
        <v>1</v>
      </c>
      <c r="I139" t="s">
        <v>945</v>
      </c>
      <c r="R139" s="981" t="s">
        <v>816</v>
      </c>
      <c r="S139" s="996" t="s">
        <v>381</v>
      </c>
      <c r="T139" s="994" t="s">
        <v>382</v>
      </c>
      <c r="U139" s="1047">
        <v>3</v>
      </c>
      <c r="V139" s="1057" t="s">
        <v>347</v>
      </c>
      <c r="W139" s="1044"/>
      <c r="AE139" s="981">
        <v>132</v>
      </c>
    </row>
    <row r="140" spans="1:31" x14ac:dyDescent="0.25">
      <c r="A140" s="96" t="s">
        <v>895</v>
      </c>
      <c r="B140" s="188" t="s">
        <v>694</v>
      </c>
      <c r="C140" s="1011" t="s">
        <v>894</v>
      </c>
      <c r="H140" s="1035">
        <f>IF(SUMIF($R$7:$R$182,A139,$U$7:$U$182)=2,1,0)</f>
        <v>1</v>
      </c>
      <c r="I140" s="1042" t="s">
        <v>945</v>
      </c>
      <c r="R140" s="981" t="s">
        <v>819</v>
      </c>
      <c r="S140" s="996" t="s">
        <v>383</v>
      </c>
      <c r="T140" s="994" t="s">
        <v>860</v>
      </c>
      <c r="U140" s="1047">
        <v>2</v>
      </c>
      <c r="V140" s="1057" t="s">
        <v>347</v>
      </c>
      <c r="W140" s="1044"/>
      <c r="AE140" s="981">
        <v>133</v>
      </c>
    </row>
    <row r="141" spans="1:31" x14ac:dyDescent="0.25">
      <c r="A141" s="137" t="s">
        <v>176</v>
      </c>
      <c r="B141" s="946" t="s">
        <v>176</v>
      </c>
      <c r="C141" s="832" t="s">
        <v>467</v>
      </c>
      <c r="H141" s="963">
        <f t="shared" si="9"/>
        <v>0</v>
      </c>
      <c r="R141" s="981" t="s">
        <v>821</v>
      </c>
      <c r="S141" s="996" t="s">
        <v>385</v>
      </c>
      <c r="T141" s="994" t="s">
        <v>386</v>
      </c>
      <c r="U141" s="1047">
        <v>1</v>
      </c>
      <c r="V141" s="1057" t="s">
        <v>347</v>
      </c>
      <c r="W141" s="1044"/>
      <c r="AE141" s="981">
        <v>134</v>
      </c>
    </row>
    <row r="142" spans="1:31" x14ac:dyDescent="0.25">
      <c r="A142" s="96" t="s">
        <v>783</v>
      </c>
      <c r="B142" s="947" t="s">
        <v>693</v>
      </c>
      <c r="C142" s="917" t="s">
        <v>659</v>
      </c>
      <c r="H142" s="221">
        <f t="shared" si="9"/>
        <v>1</v>
      </c>
      <c r="R142" s="981" t="s">
        <v>823</v>
      </c>
      <c r="S142" s="996" t="s">
        <v>387</v>
      </c>
      <c r="T142" s="994" t="s">
        <v>388</v>
      </c>
      <c r="U142" s="1047">
        <v>1</v>
      </c>
      <c r="V142" s="1057" t="s">
        <v>347</v>
      </c>
      <c r="W142" s="1044"/>
      <c r="AE142" s="981">
        <v>135</v>
      </c>
    </row>
    <row r="143" spans="1:31" x14ac:dyDescent="0.25">
      <c r="A143" s="96" t="s">
        <v>784</v>
      </c>
      <c r="B143" s="947" t="s">
        <v>696</v>
      </c>
      <c r="C143" s="917" t="s">
        <v>660</v>
      </c>
      <c r="H143" s="221">
        <f t="shared" si="9"/>
        <v>1</v>
      </c>
      <c r="R143" s="981"/>
      <c r="S143" s="987"/>
      <c r="T143" s="985"/>
      <c r="U143" s="1045"/>
      <c r="V143" s="1046"/>
      <c r="W143" s="1044"/>
      <c r="AE143" s="981">
        <v>136</v>
      </c>
    </row>
    <row r="144" spans="1:31" x14ac:dyDescent="0.25">
      <c r="A144" s="96" t="s">
        <v>785</v>
      </c>
      <c r="B144" s="947" t="s">
        <v>697</v>
      </c>
      <c r="C144" s="917" t="s">
        <v>661</v>
      </c>
      <c r="H144" s="221">
        <f t="shared" si="9"/>
        <v>1</v>
      </c>
      <c r="R144" s="981"/>
      <c r="S144" s="986" t="s">
        <v>389</v>
      </c>
      <c r="T144" s="985"/>
      <c r="U144" s="1045"/>
      <c r="V144" s="1046"/>
      <c r="W144" s="1044"/>
      <c r="AE144" s="981">
        <v>137</v>
      </c>
    </row>
    <row r="145" spans="1:31" x14ac:dyDescent="0.25">
      <c r="A145" s="137" t="s">
        <v>479</v>
      </c>
      <c r="B145" s="946" t="s">
        <v>479</v>
      </c>
      <c r="C145" s="832" t="s">
        <v>468</v>
      </c>
      <c r="H145" s="963">
        <f t="shared" si="9"/>
        <v>0</v>
      </c>
      <c r="R145" s="981" t="s">
        <v>190</v>
      </c>
      <c r="S145" s="991" t="s">
        <v>548</v>
      </c>
      <c r="T145" s="989" t="s">
        <v>861</v>
      </c>
      <c r="U145" s="1047">
        <v>1</v>
      </c>
      <c r="V145" s="1057" t="s">
        <v>347</v>
      </c>
      <c r="W145" s="1044"/>
      <c r="AE145" s="981">
        <v>138</v>
      </c>
    </row>
    <row r="146" spans="1:31" x14ac:dyDescent="0.25">
      <c r="A146" s="96" t="s">
        <v>786</v>
      </c>
      <c r="B146" s="947" t="s">
        <v>693</v>
      </c>
      <c r="C146" s="917" t="s">
        <v>662</v>
      </c>
      <c r="H146" s="221">
        <f t="shared" si="9"/>
        <v>1</v>
      </c>
      <c r="R146" s="981" t="s">
        <v>191</v>
      </c>
      <c r="S146" s="991" t="s">
        <v>862</v>
      </c>
      <c r="T146" s="989" t="s">
        <v>863</v>
      </c>
      <c r="U146" s="1047"/>
      <c r="V146" s="1057" t="s">
        <v>347</v>
      </c>
      <c r="W146" s="1044"/>
      <c r="AE146" s="981">
        <v>139</v>
      </c>
    </row>
    <row r="147" spans="1:31" x14ac:dyDescent="0.25">
      <c r="A147" s="96" t="s">
        <v>787</v>
      </c>
      <c r="B147" s="947" t="s">
        <v>696</v>
      </c>
      <c r="C147" s="917" t="s">
        <v>663</v>
      </c>
      <c r="H147" s="221">
        <f t="shared" si="9"/>
        <v>1</v>
      </c>
      <c r="R147" s="981" t="s">
        <v>192</v>
      </c>
      <c r="S147" s="991" t="s">
        <v>862</v>
      </c>
      <c r="T147" s="989" t="s">
        <v>864</v>
      </c>
      <c r="U147" s="1047">
        <v>1</v>
      </c>
      <c r="V147" s="1057" t="s">
        <v>347</v>
      </c>
      <c r="W147" s="1044"/>
      <c r="AE147" s="981">
        <v>140</v>
      </c>
    </row>
    <row r="148" spans="1:31" ht="15.75" thickBot="1" x14ac:dyDescent="0.3">
      <c r="A148" s="96" t="s">
        <v>788</v>
      </c>
      <c r="B148" s="948" t="s">
        <v>697</v>
      </c>
      <c r="C148" s="950" t="s">
        <v>664</v>
      </c>
      <c r="H148" s="221">
        <f t="shared" si="9"/>
        <v>1</v>
      </c>
      <c r="R148" s="981" t="s">
        <v>193</v>
      </c>
      <c r="S148" s="991" t="s">
        <v>542</v>
      </c>
      <c r="T148" s="989" t="s">
        <v>865</v>
      </c>
      <c r="U148" s="1047">
        <v>1</v>
      </c>
      <c r="V148" s="1057" t="s">
        <v>347</v>
      </c>
      <c r="W148" s="1044"/>
      <c r="AE148" s="981">
        <v>141</v>
      </c>
    </row>
    <row r="149" spans="1:31" ht="15.75" thickBot="1" x14ac:dyDescent="0.3">
      <c r="A149" s="96" t="s">
        <v>887</v>
      </c>
      <c r="B149" s="711"/>
      <c r="C149" s="710" t="s">
        <v>214</v>
      </c>
      <c r="H149" s="226">
        <f t="shared" si="9"/>
        <v>0</v>
      </c>
      <c r="R149" s="981" t="s">
        <v>194</v>
      </c>
      <c r="S149" s="991" t="s">
        <v>573</v>
      </c>
      <c r="T149" s="989" t="s">
        <v>866</v>
      </c>
      <c r="U149" s="1047">
        <v>4</v>
      </c>
      <c r="V149" s="1057" t="s">
        <v>347</v>
      </c>
      <c r="W149" s="1044"/>
      <c r="AE149" s="981">
        <v>142</v>
      </c>
    </row>
    <row r="150" spans="1:31" ht="15.75" thickBot="1" x14ac:dyDescent="0.3">
      <c r="A150" s="96"/>
      <c r="B150" s="96"/>
      <c r="C150" s="96"/>
      <c r="H150" s="96">
        <f t="shared" si="9"/>
        <v>0</v>
      </c>
      <c r="R150" s="981" t="s">
        <v>195</v>
      </c>
      <c r="S150" s="991" t="s">
        <v>573</v>
      </c>
      <c r="T150" s="989" t="s">
        <v>867</v>
      </c>
      <c r="U150" s="1047">
        <v>1</v>
      </c>
      <c r="V150" s="1057" t="s">
        <v>347</v>
      </c>
      <c r="W150" s="1044"/>
      <c r="AE150" s="981">
        <v>143</v>
      </c>
    </row>
    <row r="151" spans="1:31" ht="15.75" thickBot="1" x14ac:dyDescent="0.3">
      <c r="A151" s="96"/>
      <c r="B151" s="145"/>
      <c r="C151" s="146" t="s">
        <v>69</v>
      </c>
      <c r="H151" s="138">
        <f t="shared" si="9"/>
        <v>0</v>
      </c>
      <c r="R151" s="981" t="s">
        <v>196</v>
      </c>
      <c r="S151" s="991" t="s">
        <v>868</v>
      </c>
      <c r="T151" s="989" t="s">
        <v>869</v>
      </c>
      <c r="U151" s="1047">
        <v>1</v>
      </c>
      <c r="V151" s="1057" t="s">
        <v>347</v>
      </c>
      <c r="W151" s="1044"/>
      <c r="AE151" s="981">
        <v>144</v>
      </c>
    </row>
    <row r="152" spans="1:31" x14ac:dyDescent="0.25">
      <c r="A152" s="137" t="s">
        <v>177</v>
      </c>
      <c r="B152" s="833" t="s">
        <v>177</v>
      </c>
      <c r="C152" s="831" t="s">
        <v>159</v>
      </c>
      <c r="H152" s="961">
        <f t="shared" si="9"/>
        <v>0</v>
      </c>
      <c r="R152" s="981" t="s">
        <v>224</v>
      </c>
      <c r="S152" s="991" t="s">
        <v>4</v>
      </c>
      <c r="T152" s="989" t="s">
        <v>870</v>
      </c>
      <c r="U152" s="1047">
        <v>1</v>
      </c>
      <c r="V152" s="1057" t="s">
        <v>347</v>
      </c>
      <c r="W152" s="1044"/>
      <c r="AE152" s="981">
        <v>145</v>
      </c>
    </row>
    <row r="153" spans="1:31" x14ac:dyDescent="0.25">
      <c r="A153" s="96" t="s">
        <v>789</v>
      </c>
      <c r="B153" s="163" t="s">
        <v>693</v>
      </c>
      <c r="C153" s="917" t="s">
        <v>665</v>
      </c>
      <c r="H153" s="221">
        <f t="shared" si="9"/>
        <v>1</v>
      </c>
      <c r="R153" s="981" t="s">
        <v>254</v>
      </c>
      <c r="S153" s="991" t="s">
        <v>551</v>
      </c>
      <c r="T153" s="989" t="s">
        <v>871</v>
      </c>
      <c r="U153" s="1047">
        <v>1</v>
      </c>
      <c r="V153" s="1057" t="s">
        <v>347</v>
      </c>
      <c r="W153" s="1044"/>
      <c r="AE153" s="981">
        <v>146</v>
      </c>
    </row>
    <row r="154" spans="1:31" x14ac:dyDescent="0.25">
      <c r="A154" s="96" t="s">
        <v>790</v>
      </c>
      <c r="B154" s="163" t="s">
        <v>696</v>
      </c>
      <c r="C154" s="917" t="s">
        <v>666</v>
      </c>
      <c r="H154" s="221">
        <f t="shared" si="9"/>
        <v>2</v>
      </c>
      <c r="R154" s="981" t="s">
        <v>474</v>
      </c>
      <c r="S154" s="982" t="s">
        <v>553</v>
      </c>
      <c r="T154" s="989" t="s">
        <v>872</v>
      </c>
      <c r="U154" s="1047">
        <v>1</v>
      </c>
      <c r="V154" s="1057" t="s">
        <v>347</v>
      </c>
      <c r="W154" s="1044"/>
      <c r="AE154" s="981">
        <v>147</v>
      </c>
    </row>
    <row r="155" spans="1:31" x14ac:dyDescent="0.25">
      <c r="A155" s="96" t="s">
        <v>791</v>
      </c>
      <c r="B155" s="163" t="s">
        <v>697</v>
      </c>
      <c r="C155" s="917" t="s">
        <v>667</v>
      </c>
      <c r="H155" s="221">
        <f t="shared" si="9"/>
        <v>2</v>
      </c>
      <c r="R155" s="981" t="s">
        <v>475</v>
      </c>
      <c r="S155" s="982" t="s">
        <v>873</v>
      </c>
      <c r="T155" s="989" t="s">
        <v>874</v>
      </c>
      <c r="U155" s="1047">
        <v>1</v>
      </c>
      <c r="V155" s="1057" t="s">
        <v>347</v>
      </c>
      <c r="W155" s="1044"/>
      <c r="AE155" s="981">
        <v>148</v>
      </c>
    </row>
    <row r="156" spans="1:31" x14ac:dyDescent="0.25">
      <c r="A156" s="96"/>
      <c r="B156" s="701" t="s">
        <v>178</v>
      </c>
      <c r="C156" s="702"/>
      <c r="H156" s="956">
        <f t="shared" si="9"/>
        <v>0</v>
      </c>
      <c r="R156" s="981" t="s">
        <v>476</v>
      </c>
      <c r="S156" s="982" t="s">
        <v>875</v>
      </c>
      <c r="T156" s="989" t="s">
        <v>876</v>
      </c>
      <c r="U156" s="1047">
        <v>1</v>
      </c>
      <c r="V156" s="1057" t="s">
        <v>347</v>
      </c>
      <c r="W156" s="1044"/>
      <c r="AE156" s="981">
        <v>149</v>
      </c>
    </row>
    <row r="157" spans="1:31" x14ac:dyDescent="0.25">
      <c r="A157" s="137" t="s">
        <v>373</v>
      </c>
      <c r="B157" s="834" t="s">
        <v>373</v>
      </c>
      <c r="C157" s="832" t="s">
        <v>795</v>
      </c>
      <c r="H157" s="221">
        <f t="shared" si="9"/>
        <v>0</v>
      </c>
      <c r="R157" s="981" t="s">
        <v>477</v>
      </c>
      <c r="S157" s="982" t="s">
        <v>877</v>
      </c>
      <c r="T157" s="989" t="s">
        <v>878</v>
      </c>
      <c r="U157" s="1047">
        <v>1</v>
      </c>
      <c r="V157" s="1057" t="s">
        <v>347</v>
      </c>
      <c r="W157" s="1044"/>
      <c r="AE157" s="981">
        <v>150</v>
      </c>
    </row>
    <row r="158" spans="1:31" x14ac:dyDescent="0.25">
      <c r="A158" s="96" t="s">
        <v>792</v>
      </c>
      <c r="B158" s="166" t="s">
        <v>693</v>
      </c>
      <c r="C158" s="917" t="s">
        <v>374</v>
      </c>
      <c r="H158" s="221">
        <f>SUMIF($R$7:$R$182,A158,$U$7:$U$182)</f>
        <v>1</v>
      </c>
      <c r="R158" s="981" t="s">
        <v>698</v>
      </c>
      <c r="S158" s="982" t="s">
        <v>858</v>
      </c>
      <c r="T158" s="989" t="s">
        <v>879</v>
      </c>
      <c r="U158" s="1047">
        <v>1</v>
      </c>
      <c r="V158" s="1057" t="s">
        <v>347</v>
      </c>
      <c r="W158" s="1044"/>
      <c r="AE158" s="981">
        <v>151</v>
      </c>
    </row>
    <row r="159" spans="1:31" x14ac:dyDescent="0.25">
      <c r="A159" s="137" t="s">
        <v>375</v>
      </c>
      <c r="B159" s="834" t="s">
        <v>375</v>
      </c>
      <c r="C159" s="832" t="s">
        <v>796</v>
      </c>
      <c r="H159" s="963">
        <f t="shared" si="9"/>
        <v>0</v>
      </c>
      <c r="R159" s="981"/>
      <c r="T159" s="981"/>
      <c r="U159" s="981"/>
      <c r="V159" s="1046"/>
      <c r="W159" s="1044"/>
      <c r="Z159">
        <v>2</v>
      </c>
      <c r="AE159" s="981">
        <v>152</v>
      </c>
    </row>
    <row r="160" spans="1:31" x14ac:dyDescent="0.25">
      <c r="A160" s="96" t="s">
        <v>793</v>
      </c>
      <c r="B160" s="166" t="s">
        <v>693</v>
      </c>
      <c r="C160" s="917" t="s">
        <v>668</v>
      </c>
      <c r="H160" s="221">
        <f t="shared" si="9"/>
        <v>0</v>
      </c>
      <c r="T160" s="981"/>
      <c r="U160" s="981"/>
      <c r="V160" s="1046"/>
      <c r="W160" s="1044"/>
      <c r="AE160" s="981">
        <v>153</v>
      </c>
    </row>
    <row r="161" spans="1:31" x14ac:dyDescent="0.25">
      <c r="A161" s="137" t="s">
        <v>179</v>
      </c>
      <c r="B161" s="834" t="s">
        <v>179</v>
      </c>
      <c r="C161" s="832" t="s">
        <v>670</v>
      </c>
      <c r="H161" s="963">
        <f t="shared" si="9"/>
        <v>0</v>
      </c>
      <c r="T161" s="981"/>
      <c r="U161" s="981"/>
      <c r="V161" s="1046"/>
      <c r="W161" s="1044"/>
      <c r="AE161" s="981">
        <v>154</v>
      </c>
    </row>
    <row r="162" spans="1:31" ht="15.75" thickBot="1" x14ac:dyDescent="0.3">
      <c r="A162" s="96" t="s">
        <v>794</v>
      </c>
      <c r="B162" s="231" t="s">
        <v>693</v>
      </c>
      <c r="C162" s="917" t="s">
        <v>669</v>
      </c>
      <c r="H162" s="221">
        <f t="shared" si="9"/>
        <v>0</v>
      </c>
      <c r="T162" s="981"/>
      <c r="U162" s="981"/>
      <c r="V162" s="1046"/>
      <c r="W162" s="1044"/>
      <c r="AE162" s="981">
        <v>155</v>
      </c>
    </row>
    <row r="163" spans="1:31" ht="15.75" thickBot="1" x14ac:dyDescent="0.3">
      <c r="A163" s="96" t="s">
        <v>888</v>
      </c>
      <c r="B163" s="201"/>
      <c r="C163" s="202" t="s">
        <v>214</v>
      </c>
      <c r="H163" s="226">
        <f t="shared" si="9"/>
        <v>0</v>
      </c>
      <c r="T163" s="981"/>
      <c r="U163" s="981"/>
      <c r="V163" s="1046"/>
      <c r="W163" s="1044"/>
      <c r="AE163" s="981">
        <v>156</v>
      </c>
    </row>
    <row r="164" spans="1:31" ht="15.75" thickBot="1" x14ac:dyDescent="0.3">
      <c r="A164" s="96"/>
      <c r="B164" s="96"/>
      <c r="C164" s="96"/>
      <c r="H164" s="96">
        <f t="shared" si="9"/>
        <v>0</v>
      </c>
      <c r="T164" s="981"/>
      <c r="U164" s="981"/>
      <c r="V164" s="1046"/>
      <c r="W164" s="1044"/>
      <c r="AE164" s="981">
        <v>157</v>
      </c>
    </row>
    <row r="165" spans="1:31" ht="15.75" thickBot="1" x14ac:dyDescent="0.3">
      <c r="A165" s="96"/>
      <c r="B165" s="151"/>
      <c r="C165" s="152" t="s">
        <v>225</v>
      </c>
      <c r="H165" s="138">
        <f t="shared" si="9"/>
        <v>0</v>
      </c>
      <c r="T165" s="981"/>
      <c r="U165" s="981"/>
      <c r="V165" s="1046"/>
      <c r="W165" s="1044"/>
    </row>
    <row r="166" spans="1:31" x14ac:dyDescent="0.25">
      <c r="A166" s="137" t="s">
        <v>180</v>
      </c>
      <c r="B166" s="858" t="s">
        <v>180</v>
      </c>
      <c r="C166" s="859" t="s">
        <v>160</v>
      </c>
      <c r="H166" s="961">
        <f t="shared" si="9"/>
        <v>0</v>
      </c>
      <c r="T166" s="981"/>
      <c r="U166" s="981"/>
      <c r="V166" s="1046"/>
      <c r="W166" s="1044"/>
    </row>
    <row r="167" spans="1:31" x14ac:dyDescent="0.25">
      <c r="A167" s="96" t="s">
        <v>797</v>
      </c>
      <c r="B167" s="166" t="s">
        <v>693</v>
      </c>
      <c r="C167" s="917" t="s">
        <v>671</v>
      </c>
      <c r="H167" s="221">
        <f t="shared" si="9"/>
        <v>2</v>
      </c>
      <c r="T167" s="981"/>
      <c r="U167" s="981"/>
      <c r="V167" s="1046"/>
      <c r="W167" s="1044"/>
    </row>
    <row r="168" spans="1:31" x14ac:dyDescent="0.25">
      <c r="A168" s="137" t="s">
        <v>181</v>
      </c>
      <c r="B168" s="834" t="s">
        <v>181</v>
      </c>
      <c r="C168" s="832" t="s">
        <v>469</v>
      </c>
      <c r="H168" s="963">
        <f t="shared" si="9"/>
        <v>0</v>
      </c>
      <c r="T168" s="981"/>
      <c r="U168" s="981"/>
      <c r="V168" s="1046"/>
      <c r="W168" s="1044"/>
    </row>
    <row r="169" spans="1:31" x14ac:dyDescent="0.25">
      <c r="A169" s="96"/>
      <c r="B169" s="166" t="s">
        <v>693</v>
      </c>
      <c r="C169" s="940" t="s">
        <v>672</v>
      </c>
      <c r="H169" s="221">
        <f t="shared" si="9"/>
        <v>0</v>
      </c>
      <c r="T169" s="981"/>
      <c r="U169" s="981"/>
      <c r="V169" s="1046"/>
      <c r="W169" s="1044"/>
    </row>
    <row r="170" spans="1:31" x14ac:dyDescent="0.25">
      <c r="A170" s="96" t="s">
        <v>799</v>
      </c>
      <c r="B170" s="188" t="s">
        <v>696</v>
      </c>
      <c r="C170" s="917" t="s">
        <v>673</v>
      </c>
      <c r="H170" s="221">
        <f t="shared" si="9"/>
        <v>1</v>
      </c>
      <c r="T170" s="981"/>
      <c r="U170" s="981"/>
      <c r="V170" s="1046"/>
      <c r="W170" s="1044"/>
    </row>
    <row r="171" spans="1:31" x14ac:dyDescent="0.25">
      <c r="A171" s="96" t="s">
        <v>800</v>
      </c>
      <c r="B171" s="188" t="s">
        <v>697</v>
      </c>
      <c r="C171" s="917" t="s">
        <v>674</v>
      </c>
      <c r="H171" s="221">
        <f t="shared" si="9"/>
        <v>1</v>
      </c>
      <c r="T171" s="981"/>
      <c r="U171" s="981"/>
      <c r="V171" s="1046"/>
      <c r="W171" s="1044"/>
    </row>
    <row r="172" spans="1:31" x14ac:dyDescent="0.25">
      <c r="A172" s="137" t="s">
        <v>480</v>
      </c>
      <c r="B172" s="946" t="s">
        <v>480</v>
      </c>
      <c r="C172" s="832" t="s">
        <v>470</v>
      </c>
      <c r="H172" s="963">
        <f t="shared" si="9"/>
        <v>0</v>
      </c>
      <c r="T172" s="981"/>
      <c r="U172" s="981"/>
      <c r="V172" s="1046"/>
      <c r="W172" s="1044"/>
    </row>
    <row r="173" spans="1:31" x14ac:dyDescent="0.25">
      <c r="A173" s="96"/>
      <c r="B173" s="188" t="s">
        <v>693</v>
      </c>
      <c r="C173" s="940" t="s">
        <v>675</v>
      </c>
      <c r="H173" s="221">
        <f t="shared" si="9"/>
        <v>0</v>
      </c>
      <c r="T173" s="981"/>
      <c r="U173" s="981"/>
      <c r="V173" s="1046"/>
      <c r="W173" s="1044"/>
    </row>
    <row r="174" spans="1:31" x14ac:dyDescent="0.25">
      <c r="A174" s="96" t="s">
        <v>802</v>
      </c>
      <c r="B174" s="188" t="s">
        <v>696</v>
      </c>
      <c r="C174" s="917" t="s">
        <v>676</v>
      </c>
      <c r="H174" s="221">
        <f t="shared" si="9"/>
        <v>0</v>
      </c>
      <c r="T174" s="981"/>
      <c r="U174" s="981"/>
      <c r="V174" s="981"/>
      <c r="W174" s="1044"/>
    </row>
    <row r="175" spans="1:31" x14ac:dyDescent="0.25">
      <c r="A175" s="96" t="s">
        <v>803</v>
      </c>
      <c r="B175" s="188" t="s">
        <v>697</v>
      </c>
      <c r="C175" s="917" t="s">
        <v>677</v>
      </c>
      <c r="H175" s="221">
        <f t="shared" si="9"/>
        <v>0</v>
      </c>
      <c r="T175" s="981"/>
      <c r="U175" s="981"/>
      <c r="V175" s="981"/>
      <c r="W175" s="1044"/>
    </row>
    <row r="176" spans="1:31" x14ac:dyDescent="0.25">
      <c r="A176" s="137" t="s">
        <v>182</v>
      </c>
      <c r="B176" s="946" t="s">
        <v>182</v>
      </c>
      <c r="C176" s="832" t="s">
        <v>471</v>
      </c>
      <c r="H176" s="963">
        <f t="shared" si="9"/>
        <v>0</v>
      </c>
      <c r="T176" s="981"/>
      <c r="U176" s="981"/>
      <c r="V176" s="981"/>
      <c r="W176" s="1044"/>
    </row>
    <row r="177" spans="1:23" x14ac:dyDescent="0.25">
      <c r="A177" s="96"/>
      <c r="B177" s="188" t="s">
        <v>693</v>
      </c>
      <c r="C177" s="940" t="s">
        <v>678</v>
      </c>
      <c r="H177" s="221">
        <f t="shared" si="9"/>
        <v>0</v>
      </c>
      <c r="T177" s="981"/>
      <c r="U177" s="981"/>
      <c r="V177" s="981"/>
      <c r="W177" s="1044"/>
    </row>
    <row r="178" spans="1:23" x14ac:dyDescent="0.25">
      <c r="A178" s="96" t="s">
        <v>805</v>
      </c>
      <c r="B178" s="188" t="s">
        <v>696</v>
      </c>
      <c r="C178" s="917" t="s">
        <v>679</v>
      </c>
      <c r="H178" s="221">
        <f t="shared" si="9"/>
        <v>1</v>
      </c>
      <c r="T178" s="981"/>
      <c r="U178" s="981"/>
      <c r="V178" s="981"/>
      <c r="W178" s="1044"/>
    </row>
    <row r="179" spans="1:23" x14ac:dyDescent="0.25">
      <c r="A179" s="96" t="s">
        <v>806</v>
      </c>
      <c r="B179" s="188" t="s">
        <v>697</v>
      </c>
      <c r="C179" s="917" t="s">
        <v>680</v>
      </c>
      <c r="H179" s="221">
        <f t="shared" si="9"/>
        <v>3</v>
      </c>
      <c r="T179" s="981"/>
      <c r="U179" s="981"/>
      <c r="V179" s="981"/>
      <c r="W179" s="1044"/>
    </row>
    <row r="180" spans="1:23" x14ac:dyDescent="0.25">
      <c r="A180" s="137" t="s">
        <v>183</v>
      </c>
      <c r="B180" s="946" t="s">
        <v>183</v>
      </c>
      <c r="C180" s="832" t="s">
        <v>472</v>
      </c>
      <c r="H180" s="963">
        <f t="shared" si="9"/>
        <v>0</v>
      </c>
      <c r="T180" s="981"/>
      <c r="U180" s="981"/>
      <c r="V180" s="981"/>
      <c r="W180" s="1044"/>
    </row>
    <row r="181" spans="1:23" x14ac:dyDescent="0.25">
      <c r="A181" s="96"/>
      <c r="B181" s="188" t="s">
        <v>693</v>
      </c>
      <c r="C181" s="940" t="s">
        <v>681</v>
      </c>
      <c r="H181" s="221">
        <f t="shared" si="9"/>
        <v>0</v>
      </c>
      <c r="T181" s="981"/>
      <c r="U181" s="981"/>
      <c r="V181" s="981"/>
      <c r="W181" s="1044"/>
    </row>
    <row r="182" spans="1:23" x14ac:dyDescent="0.25">
      <c r="A182" s="96" t="s">
        <v>808</v>
      </c>
      <c r="B182" s="188" t="s">
        <v>696</v>
      </c>
      <c r="C182" s="917" t="s">
        <v>682</v>
      </c>
      <c r="H182" s="221">
        <f t="shared" si="9"/>
        <v>1</v>
      </c>
      <c r="T182" s="981"/>
      <c r="U182" s="981"/>
      <c r="V182" s="981"/>
      <c r="W182" s="1044"/>
    </row>
    <row r="183" spans="1:23" x14ac:dyDescent="0.25">
      <c r="A183" s="96" t="s">
        <v>809</v>
      </c>
      <c r="B183" s="188" t="s">
        <v>697</v>
      </c>
      <c r="C183" s="917" t="s">
        <v>683</v>
      </c>
      <c r="H183" s="221">
        <f t="shared" si="9"/>
        <v>1</v>
      </c>
      <c r="T183" s="981"/>
      <c r="U183" s="981"/>
      <c r="V183" s="981"/>
      <c r="W183" s="1044"/>
    </row>
    <row r="184" spans="1:23" x14ac:dyDescent="0.25">
      <c r="A184" s="137" t="s">
        <v>184</v>
      </c>
      <c r="B184" s="946" t="s">
        <v>184</v>
      </c>
      <c r="C184" s="832" t="s">
        <v>690</v>
      </c>
      <c r="H184" s="963">
        <f t="shared" si="9"/>
        <v>0</v>
      </c>
      <c r="T184" s="981"/>
      <c r="U184" s="981"/>
      <c r="V184" s="981"/>
      <c r="W184" s="1044"/>
    </row>
    <row r="185" spans="1:23" x14ac:dyDescent="0.25">
      <c r="A185" s="96" t="s">
        <v>810</v>
      </c>
      <c r="B185" s="188" t="s">
        <v>693</v>
      </c>
      <c r="C185" s="917" t="s">
        <v>684</v>
      </c>
      <c r="H185" s="221">
        <f t="shared" si="9"/>
        <v>1</v>
      </c>
      <c r="T185" s="981"/>
      <c r="U185" s="981"/>
      <c r="V185" s="981"/>
      <c r="W185" s="1044"/>
    </row>
    <row r="186" spans="1:23" x14ac:dyDescent="0.25">
      <c r="A186" s="137" t="s">
        <v>481</v>
      </c>
      <c r="B186" s="946" t="s">
        <v>481</v>
      </c>
      <c r="C186" s="832" t="s">
        <v>691</v>
      </c>
      <c r="H186" s="963">
        <f t="shared" si="9"/>
        <v>0</v>
      </c>
      <c r="T186" s="981"/>
      <c r="U186" s="981"/>
      <c r="V186" s="981"/>
      <c r="W186" s="1044"/>
    </row>
    <row r="187" spans="1:23" x14ac:dyDescent="0.25">
      <c r="A187" s="96"/>
      <c r="B187" s="188" t="s">
        <v>693</v>
      </c>
      <c r="C187" s="940" t="s">
        <v>685</v>
      </c>
      <c r="H187" s="221">
        <f t="shared" si="9"/>
        <v>0</v>
      </c>
      <c r="T187" s="981"/>
      <c r="U187" s="981"/>
      <c r="V187" s="981"/>
      <c r="W187" s="1044"/>
    </row>
    <row r="188" spans="1:23" x14ac:dyDescent="0.25">
      <c r="A188" s="96" t="s">
        <v>812</v>
      </c>
      <c r="B188" s="188" t="s">
        <v>696</v>
      </c>
      <c r="C188" s="917" t="s">
        <v>686</v>
      </c>
      <c r="H188" s="221">
        <f t="shared" si="9"/>
        <v>2</v>
      </c>
      <c r="T188" s="981"/>
      <c r="U188" s="981"/>
      <c r="V188" s="981"/>
      <c r="W188" s="1044"/>
    </row>
    <row r="189" spans="1:23" x14ac:dyDescent="0.25">
      <c r="A189" s="137" t="s">
        <v>482</v>
      </c>
      <c r="B189" s="946" t="s">
        <v>482</v>
      </c>
      <c r="C189" s="832" t="s">
        <v>692</v>
      </c>
      <c r="H189" s="963">
        <f t="shared" si="9"/>
        <v>0</v>
      </c>
      <c r="T189" s="981"/>
      <c r="U189" s="981"/>
      <c r="V189" s="981"/>
      <c r="W189" s="1044"/>
    </row>
    <row r="190" spans="1:23" x14ac:dyDescent="0.25">
      <c r="A190" s="96"/>
      <c r="B190" s="188" t="s">
        <v>693</v>
      </c>
      <c r="C190" s="940" t="s">
        <v>687</v>
      </c>
      <c r="H190" s="221">
        <f t="shared" si="9"/>
        <v>0</v>
      </c>
      <c r="T190" s="981"/>
      <c r="U190" s="981"/>
      <c r="V190" s="981"/>
      <c r="W190" s="1044"/>
    </row>
    <row r="191" spans="1:23" x14ac:dyDescent="0.25">
      <c r="A191" s="96" t="s">
        <v>814</v>
      </c>
      <c r="B191" s="188" t="s">
        <v>696</v>
      </c>
      <c r="C191" s="917" t="s">
        <v>960</v>
      </c>
      <c r="H191" s="221">
        <f t="shared" si="9"/>
        <v>1</v>
      </c>
      <c r="T191" s="981"/>
      <c r="U191" s="981"/>
      <c r="V191" s="981"/>
      <c r="W191" s="1044"/>
    </row>
    <row r="192" spans="1:23" s="1043" customFormat="1" x14ac:dyDescent="0.25">
      <c r="A192" s="96" t="s">
        <v>815</v>
      </c>
      <c r="B192" s="731" t="s">
        <v>697</v>
      </c>
      <c r="C192" s="917" t="s">
        <v>688</v>
      </c>
      <c r="H192" s="221">
        <f t="shared" si="9"/>
        <v>1</v>
      </c>
      <c r="W192" s="1044"/>
    </row>
    <row r="193" spans="1:23" ht="15.75" thickBot="1" x14ac:dyDescent="0.3">
      <c r="A193" s="96" t="s">
        <v>961</v>
      </c>
      <c r="B193" s="194" t="s">
        <v>695</v>
      </c>
      <c r="C193" s="917" t="s">
        <v>689</v>
      </c>
      <c r="H193" s="221">
        <f t="shared" si="9"/>
        <v>0</v>
      </c>
      <c r="T193" s="981"/>
      <c r="U193" s="981"/>
      <c r="V193" s="981"/>
      <c r="W193" s="1044"/>
    </row>
    <row r="194" spans="1:23" ht="15.75" thickBot="1" x14ac:dyDescent="0.3">
      <c r="A194" s="96" t="s">
        <v>889</v>
      </c>
      <c r="B194" s="711"/>
      <c r="C194" s="710" t="s">
        <v>214</v>
      </c>
      <c r="H194" s="226">
        <f t="shared" si="9"/>
        <v>0</v>
      </c>
      <c r="T194" s="981"/>
      <c r="U194" s="981"/>
      <c r="V194" s="981"/>
      <c r="W194" s="1044"/>
    </row>
    <row r="195" spans="1:23" ht="15.75" thickBot="1" x14ac:dyDescent="0.3">
      <c r="A195" s="96"/>
      <c r="B195" s="96"/>
      <c r="C195" s="96"/>
      <c r="H195" s="96">
        <f t="shared" si="9"/>
        <v>0</v>
      </c>
      <c r="T195" s="981"/>
      <c r="U195" s="981"/>
      <c r="V195" s="981"/>
      <c r="W195" s="1044"/>
    </row>
    <row r="196" spans="1:23" ht="15.75" thickBot="1" x14ac:dyDescent="0.3">
      <c r="A196" s="96"/>
      <c r="B196" s="151"/>
      <c r="C196" s="152" t="s">
        <v>71</v>
      </c>
      <c r="H196" s="138">
        <f t="shared" si="9"/>
        <v>0</v>
      </c>
      <c r="T196" s="981"/>
      <c r="U196" s="981"/>
      <c r="V196" s="981"/>
      <c r="W196" s="1044"/>
    </row>
    <row r="197" spans="1:23" x14ac:dyDescent="0.25">
      <c r="A197" s="137" t="s">
        <v>185</v>
      </c>
      <c r="B197" s="858" t="s">
        <v>185</v>
      </c>
      <c r="C197" s="859" t="s">
        <v>164</v>
      </c>
      <c r="H197" s="961">
        <f t="shared" si="9"/>
        <v>0</v>
      </c>
      <c r="T197" s="981"/>
      <c r="U197" s="981"/>
      <c r="V197" s="981"/>
      <c r="W197" s="1044"/>
    </row>
    <row r="198" spans="1:23" x14ac:dyDescent="0.25">
      <c r="A198" s="96" t="s">
        <v>816</v>
      </c>
      <c r="B198" s="166" t="s">
        <v>693</v>
      </c>
      <c r="C198" s="917" t="s">
        <v>899</v>
      </c>
      <c r="H198" s="1038">
        <f t="shared" si="9"/>
        <v>3</v>
      </c>
      <c r="I198" t="s">
        <v>946</v>
      </c>
      <c r="T198" s="981"/>
      <c r="U198" s="981"/>
      <c r="V198" s="981"/>
      <c r="W198" s="1044"/>
    </row>
    <row r="199" spans="1:23" x14ac:dyDescent="0.25">
      <c r="A199" s="96" t="s">
        <v>818</v>
      </c>
      <c r="B199" s="166" t="s">
        <v>697</v>
      </c>
      <c r="C199" s="917" t="s">
        <v>382</v>
      </c>
      <c r="H199" s="1038">
        <f>IF(H198=3,2,0)</f>
        <v>2</v>
      </c>
      <c r="I199" s="1043" t="s">
        <v>946</v>
      </c>
      <c r="T199" s="981"/>
      <c r="U199" s="981"/>
      <c r="V199" s="981"/>
      <c r="W199" s="1044"/>
    </row>
    <row r="200" spans="1:23" x14ac:dyDescent="0.25">
      <c r="A200" s="96" t="s">
        <v>897</v>
      </c>
      <c r="B200" s="166" t="s">
        <v>695</v>
      </c>
      <c r="C200" s="917" t="s">
        <v>900</v>
      </c>
      <c r="H200" s="1038">
        <f>IF(H198=3,1,0)</f>
        <v>1</v>
      </c>
      <c r="I200" s="1043" t="s">
        <v>946</v>
      </c>
      <c r="T200" s="981"/>
      <c r="U200" s="981"/>
      <c r="V200" s="981"/>
      <c r="W200" s="1044"/>
    </row>
    <row r="201" spans="1:23" x14ac:dyDescent="0.25">
      <c r="A201" s="137" t="s">
        <v>186</v>
      </c>
      <c r="B201" s="834" t="s">
        <v>186</v>
      </c>
      <c r="C201" s="832" t="s">
        <v>473</v>
      </c>
      <c r="H201" s="1040">
        <f t="shared" ref="H201:H241" si="10">SUMIF($R$7:$R$182,A201,$U$7:$U$182)</f>
        <v>0</v>
      </c>
      <c r="I201" s="1043" t="s">
        <v>946</v>
      </c>
      <c r="T201" s="981"/>
      <c r="U201" s="981"/>
      <c r="V201" s="981"/>
      <c r="W201" s="1044"/>
    </row>
    <row r="202" spans="1:23" x14ac:dyDescent="0.25">
      <c r="A202" s="96" t="s">
        <v>819</v>
      </c>
      <c r="B202" s="166" t="s">
        <v>693</v>
      </c>
      <c r="C202" s="917" t="s">
        <v>901</v>
      </c>
      <c r="H202" s="1038">
        <f t="shared" si="10"/>
        <v>2</v>
      </c>
      <c r="I202" s="1043" t="s">
        <v>946</v>
      </c>
      <c r="T202" s="981"/>
      <c r="U202" s="981"/>
      <c r="V202" s="981"/>
      <c r="W202" s="1044"/>
    </row>
    <row r="203" spans="1:23" x14ac:dyDescent="0.25">
      <c r="A203" s="96" t="s">
        <v>820</v>
      </c>
      <c r="B203" s="166" t="s">
        <v>696</v>
      </c>
      <c r="C203" s="917" t="s">
        <v>902</v>
      </c>
      <c r="H203" s="1038">
        <f>H202</f>
        <v>2</v>
      </c>
      <c r="I203" s="1043" t="s">
        <v>946</v>
      </c>
      <c r="T203" s="981"/>
      <c r="U203" s="981"/>
      <c r="V203" s="981"/>
      <c r="W203" s="1044"/>
    </row>
    <row r="204" spans="1:23" x14ac:dyDescent="0.25">
      <c r="A204" s="96"/>
      <c r="B204" s="701" t="s">
        <v>187</v>
      </c>
      <c r="C204" s="700"/>
      <c r="H204" s="1041">
        <f t="shared" si="10"/>
        <v>0</v>
      </c>
      <c r="I204" s="1043" t="s">
        <v>946</v>
      </c>
      <c r="T204" s="981"/>
      <c r="U204" s="981"/>
      <c r="V204" s="981"/>
      <c r="W204" s="1044"/>
    </row>
    <row r="205" spans="1:23" x14ac:dyDescent="0.25">
      <c r="A205" s="137" t="s">
        <v>188</v>
      </c>
      <c r="B205" s="834" t="s">
        <v>188</v>
      </c>
      <c r="C205" s="832" t="s">
        <v>165</v>
      </c>
      <c r="H205" s="1040">
        <f t="shared" si="10"/>
        <v>0</v>
      </c>
      <c r="I205" s="1043" t="s">
        <v>946</v>
      </c>
      <c r="T205" s="981"/>
      <c r="U205" s="981"/>
      <c r="V205" s="981"/>
      <c r="W205" s="1044"/>
    </row>
    <row r="206" spans="1:23" x14ac:dyDescent="0.25">
      <c r="A206" s="96" t="s">
        <v>821</v>
      </c>
      <c r="B206" s="166" t="s">
        <v>693</v>
      </c>
      <c r="C206" s="917" t="s">
        <v>904</v>
      </c>
      <c r="H206" s="1038">
        <f t="shared" si="10"/>
        <v>1</v>
      </c>
      <c r="I206" s="1043" t="s">
        <v>946</v>
      </c>
      <c r="T206" s="981"/>
      <c r="U206" s="981"/>
      <c r="V206" s="981"/>
      <c r="W206" s="1044"/>
    </row>
    <row r="207" spans="1:23" x14ac:dyDescent="0.25">
      <c r="A207" s="96" t="s">
        <v>822</v>
      </c>
      <c r="B207" s="166" t="s">
        <v>696</v>
      </c>
      <c r="C207" s="917" t="s">
        <v>905</v>
      </c>
      <c r="H207" s="1038">
        <f>H206</f>
        <v>1</v>
      </c>
      <c r="I207" s="1043" t="s">
        <v>946</v>
      </c>
      <c r="T207" s="981"/>
      <c r="U207" s="981"/>
      <c r="V207" s="981"/>
      <c r="W207" s="1044"/>
    </row>
    <row r="208" spans="1:23" x14ac:dyDescent="0.25">
      <c r="A208" s="137" t="s">
        <v>189</v>
      </c>
      <c r="B208" s="834" t="s">
        <v>189</v>
      </c>
      <c r="C208" s="832" t="s">
        <v>908</v>
      </c>
      <c r="H208" s="1040">
        <f t="shared" si="10"/>
        <v>0</v>
      </c>
      <c r="I208" s="1043" t="s">
        <v>946</v>
      </c>
      <c r="T208" s="981"/>
      <c r="U208" s="981"/>
      <c r="V208" s="981"/>
      <c r="W208" s="1044"/>
    </row>
    <row r="209" spans="1:23" x14ac:dyDescent="0.25">
      <c r="A209" s="96" t="s">
        <v>823</v>
      </c>
      <c r="B209" s="166" t="s">
        <v>693</v>
      </c>
      <c r="C209" s="917" t="s">
        <v>906</v>
      </c>
      <c r="H209" s="1038">
        <f t="shared" si="10"/>
        <v>1</v>
      </c>
      <c r="I209" s="1043" t="s">
        <v>946</v>
      </c>
      <c r="T209" s="981"/>
      <c r="U209" s="981"/>
      <c r="V209" s="981"/>
      <c r="W209" s="1044"/>
    </row>
    <row r="210" spans="1:23" ht="15.75" thickBot="1" x14ac:dyDescent="0.3">
      <c r="A210" s="96" t="s">
        <v>824</v>
      </c>
      <c r="B210" s="229" t="s">
        <v>696</v>
      </c>
      <c r="C210" s="917" t="s">
        <v>907</v>
      </c>
      <c r="H210" s="1038">
        <f>H209</f>
        <v>1</v>
      </c>
      <c r="I210" s="1043" t="s">
        <v>946</v>
      </c>
      <c r="T210" s="981"/>
      <c r="U210" s="981"/>
      <c r="V210" s="981"/>
      <c r="W210" s="1044"/>
    </row>
    <row r="211" spans="1:23" ht="15.75" thickBot="1" x14ac:dyDescent="0.3">
      <c r="A211" s="96" t="s">
        <v>890</v>
      </c>
      <c r="B211" s="711"/>
      <c r="C211" s="710" t="s">
        <v>214</v>
      </c>
      <c r="H211" s="226">
        <f t="shared" si="10"/>
        <v>0</v>
      </c>
      <c r="T211" s="981"/>
      <c r="U211" s="981"/>
      <c r="V211" s="981"/>
      <c r="W211" s="1044"/>
    </row>
    <row r="212" spans="1:23" ht="15.75" thickBot="1" x14ac:dyDescent="0.3">
      <c r="A212" s="96"/>
      <c r="B212" s="96"/>
      <c r="C212" s="96"/>
      <c r="H212" s="96">
        <f t="shared" si="10"/>
        <v>0</v>
      </c>
      <c r="T212" s="981"/>
      <c r="U212" s="981"/>
      <c r="V212" s="981"/>
      <c r="W212" s="1044"/>
    </row>
    <row r="213" spans="1:23" ht="15.75" thickBot="1" x14ac:dyDescent="0.3">
      <c r="A213" s="96"/>
      <c r="B213" s="151"/>
      <c r="C213" s="152" t="s">
        <v>226</v>
      </c>
      <c r="H213" s="138">
        <f t="shared" si="10"/>
        <v>0</v>
      </c>
      <c r="T213" s="981"/>
      <c r="U213" s="981"/>
      <c r="V213" s="981"/>
      <c r="W213" s="1044"/>
    </row>
    <row r="214" spans="1:23" x14ac:dyDescent="0.25">
      <c r="A214" s="130" t="s">
        <v>190</v>
      </c>
      <c r="B214" s="313" t="s">
        <v>190</v>
      </c>
      <c r="C214" s="177" t="s">
        <v>926</v>
      </c>
      <c r="H214" s="212">
        <f t="shared" si="10"/>
        <v>1</v>
      </c>
      <c r="T214" s="981"/>
      <c r="U214" s="981"/>
      <c r="V214" s="981"/>
      <c r="W214" s="1044"/>
    </row>
    <row r="215" spans="1:23" x14ac:dyDescent="0.25">
      <c r="A215" s="130" t="s">
        <v>191</v>
      </c>
      <c r="B215" s="166" t="s">
        <v>191</v>
      </c>
      <c r="C215" s="167" t="s">
        <v>927</v>
      </c>
      <c r="H215" s="221">
        <f t="shared" si="10"/>
        <v>0</v>
      </c>
      <c r="T215" s="981"/>
      <c r="U215" s="981"/>
      <c r="V215" s="981"/>
      <c r="W215" s="1044"/>
    </row>
    <row r="216" spans="1:23" x14ac:dyDescent="0.25">
      <c r="A216" s="130" t="s">
        <v>192</v>
      </c>
      <c r="B216" s="166" t="s">
        <v>192</v>
      </c>
      <c r="C216" s="167" t="s">
        <v>928</v>
      </c>
      <c r="H216" s="221">
        <f t="shared" si="10"/>
        <v>1</v>
      </c>
      <c r="T216" s="981"/>
      <c r="U216" s="981"/>
      <c r="V216" s="981"/>
      <c r="W216" s="1044"/>
    </row>
    <row r="217" spans="1:23" x14ac:dyDescent="0.25">
      <c r="A217" s="130" t="s">
        <v>193</v>
      </c>
      <c r="B217" s="166" t="s">
        <v>193</v>
      </c>
      <c r="C217" s="167" t="s">
        <v>929</v>
      </c>
      <c r="H217" s="221">
        <f t="shared" si="10"/>
        <v>1</v>
      </c>
      <c r="T217" s="981"/>
      <c r="U217" s="981"/>
      <c r="V217" s="981"/>
      <c r="W217" s="1044"/>
    </row>
    <row r="218" spans="1:23" x14ac:dyDescent="0.25">
      <c r="A218" s="130" t="s">
        <v>194</v>
      </c>
      <c r="B218" s="166" t="s">
        <v>194</v>
      </c>
      <c r="C218" s="167" t="s">
        <v>930</v>
      </c>
      <c r="H218" s="221">
        <f t="shared" si="10"/>
        <v>4</v>
      </c>
      <c r="T218" s="981"/>
      <c r="U218" s="981"/>
      <c r="V218" s="981"/>
      <c r="W218" s="1044"/>
    </row>
    <row r="219" spans="1:23" x14ac:dyDescent="0.25">
      <c r="A219" s="130" t="s">
        <v>195</v>
      </c>
      <c r="B219" s="166" t="s">
        <v>195</v>
      </c>
      <c r="C219" s="167" t="s">
        <v>931</v>
      </c>
      <c r="H219" s="221">
        <f t="shared" si="10"/>
        <v>1</v>
      </c>
      <c r="T219" s="981"/>
      <c r="U219" s="981"/>
      <c r="V219" s="981"/>
      <c r="W219" s="981"/>
    </row>
    <row r="220" spans="1:23" x14ac:dyDescent="0.25">
      <c r="A220" s="130" t="s">
        <v>196</v>
      </c>
      <c r="B220" s="166" t="s">
        <v>196</v>
      </c>
      <c r="C220" s="167" t="s">
        <v>932</v>
      </c>
      <c r="H220" s="221">
        <f t="shared" si="10"/>
        <v>1</v>
      </c>
      <c r="T220" s="981"/>
      <c r="U220" s="981"/>
      <c r="V220" s="981"/>
      <c r="W220" s="981"/>
    </row>
    <row r="221" spans="1:23" x14ac:dyDescent="0.25">
      <c r="A221" s="130" t="s">
        <v>224</v>
      </c>
      <c r="B221" s="166" t="s">
        <v>224</v>
      </c>
      <c r="C221" s="167" t="s">
        <v>933</v>
      </c>
      <c r="H221" s="221">
        <f t="shared" si="10"/>
        <v>1</v>
      </c>
      <c r="T221" s="981"/>
      <c r="U221" s="981"/>
      <c r="V221" s="981"/>
      <c r="W221" s="981"/>
    </row>
    <row r="222" spans="1:23" x14ac:dyDescent="0.25">
      <c r="A222" s="130" t="s">
        <v>254</v>
      </c>
      <c r="B222" s="166" t="s">
        <v>254</v>
      </c>
      <c r="C222" s="167" t="s">
        <v>934</v>
      </c>
      <c r="H222" s="221">
        <f t="shared" si="10"/>
        <v>1</v>
      </c>
      <c r="T222" s="981"/>
      <c r="U222" s="981"/>
      <c r="V222" s="981"/>
      <c r="W222" s="981"/>
    </row>
    <row r="223" spans="1:23" x14ac:dyDescent="0.25">
      <c r="A223" s="130" t="s">
        <v>474</v>
      </c>
      <c r="B223" s="222" t="s">
        <v>474</v>
      </c>
      <c r="C223" s="189" t="s">
        <v>935</v>
      </c>
      <c r="H223" s="221">
        <f t="shared" si="10"/>
        <v>1</v>
      </c>
      <c r="T223" s="981"/>
      <c r="U223" s="981"/>
      <c r="V223" s="981"/>
      <c r="W223" s="981"/>
    </row>
    <row r="224" spans="1:23" x14ac:dyDescent="0.25">
      <c r="A224" s="130" t="s">
        <v>475</v>
      </c>
      <c r="B224" s="222" t="s">
        <v>475</v>
      </c>
      <c r="C224" s="189" t="s">
        <v>936</v>
      </c>
      <c r="H224" s="221">
        <f t="shared" si="10"/>
        <v>1</v>
      </c>
      <c r="T224" s="981"/>
      <c r="U224" s="981"/>
      <c r="V224" s="981"/>
      <c r="W224" s="981"/>
    </row>
    <row r="225" spans="1:23" x14ac:dyDescent="0.25">
      <c r="A225" s="130" t="s">
        <v>476</v>
      </c>
      <c r="B225" s="222" t="s">
        <v>476</v>
      </c>
      <c r="C225" s="189" t="s">
        <v>937</v>
      </c>
      <c r="H225" s="221">
        <f t="shared" si="10"/>
        <v>1</v>
      </c>
      <c r="T225" s="981"/>
      <c r="U225" s="981"/>
      <c r="V225" s="981"/>
      <c r="W225" s="981"/>
    </row>
    <row r="226" spans="1:23" x14ac:dyDescent="0.25">
      <c r="A226" s="130" t="s">
        <v>477</v>
      </c>
      <c r="B226" s="222" t="s">
        <v>477</v>
      </c>
      <c r="C226" s="189" t="s">
        <v>938</v>
      </c>
      <c r="H226" s="221">
        <f t="shared" si="10"/>
        <v>1</v>
      </c>
      <c r="T226" s="981"/>
      <c r="U226" s="981"/>
      <c r="V226" s="981"/>
      <c r="W226" s="981"/>
    </row>
    <row r="227" spans="1:23" ht="15.75" thickBot="1" x14ac:dyDescent="0.3">
      <c r="A227" s="130" t="s">
        <v>698</v>
      </c>
      <c r="B227" s="719" t="s">
        <v>698</v>
      </c>
      <c r="C227" s="196" t="s">
        <v>939</v>
      </c>
      <c r="H227" s="854">
        <f t="shared" si="10"/>
        <v>1</v>
      </c>
      <c r="T227" s="981"/>
      <c r="U227" s="981"/>
      <c r="V227" s="981"/>
      <c r="W227" s="981"/>
    </row>
    <row r="228" spans="1:23" ht="15.75" thickBot="1" x14ac:dyDescent="0.3">
      <c r="A228" s="130" t="s">
        <v>891</v>
      </c>
      <c r="B228" s="711" t="s">
        <v>214</v>
      </c>
      <c r="C228" s="710"/>
      <c r="H228" s="226">
        <f t="shared" si="10"/>
        <v>0</v>
      </c>
      <c r="T228" s="981"/>
      <c r="U228" s="981"/>
      <c r="V228" s="981"/>
      <c r="W228" s="981"/>
    </row>
    <row r="229" spans="1:23" ht="15.75" thickBot="1" x14ac:dyDescent="0.3">
      <c r="A229" s="96"/>
      <c r="B229" s="96"/>
      <c r="C229" s="96"/>
      <c r="H229" s="96">
        <f t="shared" si="10"/>
        <v>0</v>
      </c>
      <c r="T229" s="981"/>
      <c r="U229" s="981"/>
      <c r="V229" s="981"/>
      <c r="W229" s="981"/>
    </row>
    <row r="230" spans="1:23" ht="15.75" thickBot="1" x14ac:dyDescent="0.3">
      <c r="A230" s="96"/>
      <c r="B230" s="151"/>
      <c r="C230" s="152" t="s">
        <v>233</v>
      </c>
      <c r="H230" s="138">
        <f t="shared" si="10"/>
        <v>0</v>
      </c>
      <c r="T230" s="981"/>
      <c r="U230" s="981"/>
      <c r="V230" s="981"/>
      <c r="W230" s="981"/>
    </row>
    <row r="231" spans="1:23" x14ac:dyDescent="0.25">
      <c r="A231" s="96" t="s">
        <v>733</v>
      </c>
      <c r="B231" s="732" t="s">
        <v>733</v>
      </c>
      <c r="C231" s="973" t="s">
        <v>608</v>
      </c>
      <c r="H231" s="212">
        <f t="shared" si="10"/>
        <v>0</v>
      </c>
      <c r="T231" s="981"/>
      <c r="U231" s="981"/>
      <c r="V231" s="981"/>
      <c r="W231" s="981"/>
    </row>
    <row r="232" spans="1:23" x14ac:dyDescent="0.25">
      <c r="A232" s="96" t="s">
        <v>740</v>
      </c>
      <c r="B232" s="222" t="s">
        <v>740</v>
      </c>
      <c r="C232" s="977" t="s">
        <v>615</v>
      </c>
      <c r="H232" s="221">
        <f t="shared" si="10"/>
        <v>0</v>
      </c>
      <c r="T232" s="981"/>
      <c r="U232" s="981"/>
      <c r="V232" s="981"/>
      <c r="W232" s="981"/>
    </row>
    <row r="233" spans="1:23" x14ac:dyDescent="0.25">
      <c r="A233" s="96" t="s">
        <v>770</v>
      </c>
      <c r="B233" s="728" t="s">
        <v>770</v>
      </c>
      <c r="C233" s="971" t="s">
        <v>646</v>
      </c>
      <c r="H233" s="221">
        <f t="shared" si="10"/>
        <v>0</v>
      </c>
      <c r="T233" s="981"/>
      <c r="U233" s="981"/>
      <c r="V233" s="981"/>
      <c r="W233" s="981"/>
    </row>
    <row r="234" spans="1:23" x14ac:dyDescent="0.25">
      <c r="A234" s="96" t="s">
        <v>773</v>
      </c>
      <c r="B234" s="728" t="s">
        <v>773</v>
      </c>
      <c r="C234" s="972" t="s">
        <v>649</v>
      </c>
      <c r="H234" s="221">
        <f t="shared" si="10"/>
        <v>0</v>
      </c>
      <c r="T234" s="981"/>
      <c r="U234" s="981"/>
      <c r="V234" s="981"/>
      <c r="W234" s="981"/>
    </row>
    <row r="235" spans="1:23" x14ac:dyDescent="0.25">
      <c r="A235" s="96" t="s">
        <v>776</v>
      </c>
      <c r="B235" s="728" t="s">
        <v>776</v>
      </c>
      <c r="C235" s="972" t="s">
        <v>652</v>
      </c>
      <c r="H235" s="221">
        <f t="shared" si="10"/>
        <v>0</v>
      </c>
      <c r="T235" s="981"/>
      <c r="U235" s="981"/>
      <c r="V235" s="981"/>
      <c r="W235" s="981"/>
    </row>
    <row r="236" spans="1:23" x14ac:dyDescent="0.25">
      <c r="A236" s="96" t="s">
        <v>779</v>
      </c>
      <c r="B236" s="728" t="s">
        <v>779</v>
      </c>
      <c r="C236" s="972" t="s">
        <v>655</v>
      </c>
      <c r="H236" s="221">
        <f t="shared" si="10"/>
        <v>0</v>
      </c>
      <c r="T236" s="981"/>
      <c r="U236" s="981"/>
      <c r="V236" s="981"/>
      <c r="W236" s="981"/>
    </row>
    <row r="237" spans="1:23" x14ac:dyDescent="0.25">
      <c r="A237" s="96" t="s">
        <v>798</v>
      </c>
      <c r="B237" s="728" t="s">
        <v>798</v>
      </c>
      <c r="C237" s="972" t="s">
        <v>672</v>
      </c>
      <c r="H237" s="221">
        <f t="shared" si="10"/>
        <v>0</v>
      </c>
      <c r="T237" s="981"/>
      <c r="U237" s="981"/>
      <c r="V237" s="981"/>
      <c r="W237" s="981"/>
    </row>
    <row r="238" spans="1:23" x14ac:dyDescent="0.25">
      <c r="A238" s="96" t="s">
        <v>801</v>
      </c>
      <c r="B238" s="728" t="s">
        <v>801</v>
      </c>
      <c r="C238" s="972" t="s">
        <v>675</v>
      </c>
      <c r="H238" s="221">
        <f t="shared" si="10"/>
        <v>0</v>
      </c>
      <c r="T238" s="981"/>
      <c r="U238" s="981"/>
      <c r="V238" s="981"/>
      <c r="W238" s="981"/>
    </row>
    <row r="239" spans="1:23" x14ac:dyDescent="0.25">
      <c r="A239" s="96" t="s">
        <v>804</v>
      </c>
      <c r="B239" s="728" t="s">
        <v>804</v>
      </c>
      <c r="C239" s="972" t="s">
        <v>678</v>
      </c>
      <c r="H239" s="221">
        <f t="shared" si="10"/>
        <v>0</v>
      </c>
      <c r="T239" s="981"/>
      <c r="U239" s="981"/>
      <c r="V239" s="981"/>
      <c r="W239" s="981"/>
    </row>
    <row r="240" spans="1:23" x14ac:dyDescent="0.25">
      <c r="A240" s="96" t="s">
        <v>807</v>
      </c>
      <c r="B240" s="728" t="s">
        <v>807</v>
      </c>
      <c r="C240" s="972" t="s">
        <v>681</v>
      </c>
      <c r="H240" s="221">
        <f t="shared" si="10"/>
        <v>0</v>
      </c>
      <c r="T240" s="981"/>
      <c r="U240" s="981"/>
      <c r="V240" s="981"/>
      <c r="W240" s="981"/>
    </row>
    <row r="241" spans="1:23" x14ac:dyDescent="0.25">
      <c r="A241" s="96" t="s">
        <v>762</v>
      </c>
      <c r="B241" s="728" t="s">
        <v>762</v>
      </c>
      <c r="C241" s="972" t="s">
        <v>639</v>
      </c>
      <c r="H241" s="221">
        <f t="shared" si="10"/>
        <v>0</v>
      </c>
      <c r="T241" s="981"/>
      <c r="U241" s="981"/>
      <c r="V241" s="981"/>
      <c r="W241" s="981"/>
    </row>
    <row r="242" spans="1:23" x14ac:dyDescent="0.25">
      <c r="A242" s="96" t="s">
        <v>811</v>
      </c>
      <c r="B242" s="731" t="s">
        <v>811</v>
      </c>
      <c r="C242" s="972" t="s">
        <v>685</v>
      </c>
      <c r="H242" s="221"/>
      <c r="T242" s="981"/>
      <c r="U242" s="981"/>
      <c r="V242" s="981"/>
      <c r="W242" s="981"/>
    </row>
    <row r="243" spans="1:23" x14ac:dyDescent="0.25">
      <c r="A243" s="96" t="s">
        <v>813</v>
      </c>
      <c r="B243" s="731" t="s">
        <v>813</v>
      </c>
      <c r="C243" s="972" t="s">
        <v>687</v>
      </c>
      <c r="H243" s="221"/>
      <c r="T243" s="981"/>
      <c r="U243" s="981"/>
      <c r="V243" s="981"/>
      <c r="W243" s="981"/>
    </row>
    <row r="244" spans="1:23" x14ac:dyDescent="0.25">
      <c r="A244" s="96" t="s">
        <v>896</v>
      </c>
      <c r="B244" s="731" t="s">
        <v>896</v>
      </c>
      <c r="C244" s="1014" t="s">
        <v>898</v>
      </c>
      <c r="H244" s="221"/>
      <c r="T244" s="981"/>
      <c r="U244" s="981"/>
      <c r="V244" s="981"/>
      <c r="W244" s="981"/>
    </row>
    <row r="245" spans="1:23" x14ac:dyDescent="0.25">
      <c r="A245" s="96"/>
      <c r="B245" s="731"/>
      <c r="C245" s="972"/>
      <c r="H245" s="221"/>
      <c r="T245" s="981"/>
      <c r="U245" s="981"/>
      <c r="V245" s="981"/>
      <c r="W245" s="981"/>
    </row>
    <row r="246" spans="1:23" ht="15.75" thickBot="1" x14ac:dyDescent="0.3">
      <c r="A246" s="96"/>
      <c r="B246" s="194"/>
      <c r="C246" s="196"/>
      <c r="H246" s="221"/>
      <c r="T246" s="981"/>
      <c r="U246" s="981"/>
      <c r="V246" s="981"/>
      <c r="W246" s="981"/>
    </row>
    <row r="247" spans="1:23" x14ac:dyDescent="0.25">
      <c r="A247" s="96"/>
      <c r="B247" s="96"/>
      <c r="C247" s="96"/>
      <c r="H247" s="96"/>
      <c r="T247" s="981"/>
      <c r="U247" s="981"/>
      <c r="V247" s="981"/>
      <c r="W247" s="981"/>
    </row>
    <row r="248" spans="1:23" x14ac:dyDescent="0.25">
      <c r="H248" s="96"/>
      <c r="T248" s="981"/>
      <c r="U248" s="981"/>
      <c r="V248" s="981"/>
      <c r="W248" s="981"/>
    </row>
    <row r="249" spans="1:23" x14ac:dyDescent="0.25">
      <c r="H249" s="96"/>
      <c r="T249" s="981"/>
      <c r="U249" s="981"/>
      <c r="V249" s="981"/>
      <c r="W249" s="981"/>
    </row>
    <row r="250" spans="1:23" x14ac:dyDescent="0.25">
      <c r="H250" s="96"/>
      <c r="T250" s="981"/>
      <c r="U250" s="981"/>
      <c r="V250" s="981"/>
      <c r="W250" s="981"/>
    </row>
    <row r="251" spans="1:23" x14ac:dyDescent="0.25">
      <c r="H251" s="96"/>
      <c r="T251" s="981"/>
      <c r="U251" s="981"/>
      <c r="V251" s="981"/>
      <c r="W251" s="981"/>
    </row>
    <row r="252" spans="1:23" x14ac:dyDescent="0.25">
      <c r="H252" s="96"/>
      <c r="T252" s="981"/>
      <c r="U252" s="981"/>
      <c r="V252" s="981"/>
      <c r="W252" s="981"/>
    </row>
    <row r="253" spans="1:23" x14ac:dyDescent="0.25">
      <c r="H253" s="96"/>
      <c r="T253" s="981"/>
      <c r="U253" s="981"/>
      <c r="V253" s="981"/>
      <c r="W253" s="981"/>
    </row>
    <row r="254" spans="1:23" x14ac:dyDescent="0.25">
      <c r="H254" s="96"/>
      <c r="T254" s="981"/>
      <c r="U254" s="981"/>
      <c r="V254" s="981"/>
      <c r="W254" s="981"/>
    </row>
    <row r="255" spans="1:23" x14ac:dyDescent="0.25">
      <c r="H255" s="96"/>
      <c r="T255" s="981"/>
      <c r="U255" s="981"/>
      <c r="V255" s="981"/>
      <c r="W255" s="981"/>
    </row>
    <row r="256" spans="1:23" x14ac:dyDescent="0.25">
      <c r="H256" s="96"/>
      <c r="T256" s="981"/>
      <c r="U256" s="981"/>
      <c r="V256" s="981"/>
      <c r="W256" s="981"/>
    </row>
    <row r="257" spans="8:23" x14ac:dyDescent="0.25">
      <c r="H257" s="96"/>
      <c r="T257" s="981"/>
      <c r="U257" s="981"/>
      <c r="V257" s="981"/>
      <c r="W257" s="981"/>
    </row>
    <row r="258" spans="8:23" x14ac:dyDescent="0.25">
      <c r="H258" s="96"/>
      <c r="T258" s="981"/>
      <c r="U258" s="981"/>
      <c r="V258" s="981"/>
      <c r="W258" s="981"/>
    </row>
    <row r="259" spans="8:23" x14ac:dyDescent="0.25">
      <c r="H259" s="96"/>
      <c r="T259" s="981"/>
      <c r="U259" s="981"/>
      <c r="V259" s="981"/>
      <c r="W259" s="981"/>
    </row>
    <row r="260" spans="8:23" x14ac:dyDescent="0.25">
      <c r="H260" s="96"/>
      <c r="T260" s="981"/>
      <c r="U260" s="981"/>
      <c r="V260" s="981"/>
      <c r="W260" s="981"/>
    </row>
    <row r="261" spans="8:23" x14ac:dyDescent="0.25">
      <c r="H261" s="96"/>
      <c r="T261" s="981"/>
      <c r="U261" s="981"/>
      <c r="V261" s="981"/>
      <c r="W261" s="981"/>
    </row>
    <row r="262" spans="8:23" x14ac:dyDescent="0.25">
      <c r="H262" s="96"/>
      <c r="T262" s="981"/>
      <c r="U262" s="981"/>
      <c r="V262" s="981"/>
      <c r="W262" s="981"/>
    </row>
    <row r="263" spans="8:23" x14ac:dyDescent="0.25">
      <c r="H263" s="96"/>
      <c r="T263" s="981"/>
      <c r="U263" s="981"/>
      <c r="V263" s="981"/>
      <c r="W263" s="981"/>
    </row>
    <row r="264" spans="8:23" x14ac:dyDescent="0.25">
      <c r="H264" s="96"/>
      <c r="T264" s="981"/>
      <c r="U264" s="981"/>
      <c r="V264" s="981"/>
      <c r="W264" s="981"/>
    </row>
    <row r="265" spans="8:23" x14ac:dyDescent="0.25">
      <c r="H265" s="96"/>
      <c r="T265" s="981"/>
      <c r="U265" s="981"/>
      <c r="V265" s="981"/>
      <c r="W265" s="981"/>
    </row>
    <row r="266" spans="8:23" x14ac:dyDescent="0.25">
      <c r="H266" s="96"/>
      <c r="T266" s="981"/>
      <c r="U266" s="981"/>
      <c r="V266" s="981"/>
      <c r="W266" s="981"/>
    </row>
    <row r="267" spans="8:23" x14ac:dyDescent="0.25">
      <c r="H267" s="96"/>
      <c r="T267" s="981"/>
      <c r="U267" s="981"/>
      <c r="V267" s="981"/>
      <c r="W267" s="981"/>
    </row>
    <row r="268" spans="8:23" x14ac:dyDescent="0.25">
      <c r="H268" s="96"/>
      <c r="T268" s="981"/>
      <c r="U268" s="981"/>
      <c r="V268" s="981"/>
      <c r="W268" s="981"/>
    </row>
    <row r="269" spans="8:23" x14ac:dyDescent="0.25">
      <c r="H269" s="96"/>
      <c r="T269" s="981"/>
      <c r="U269" s="981"/>
      <c r="V269" s="981"/>
      <c r="W269" s="981"/>
    </row>
    <row r="270" spans="8:23" x14ac:dyDescent="0.25">
      <c r="H270" s="96"/>
      <c r="T270" s="981"/>
      <c r="U270" s="981"/>
      <c r="V270" s="981"/>
      <c r="W270" s="981"/>
    </row>
    <row r="271" spans="8:23" x14ac:dyDescent="0.25">
      <c r="H271" s="96"/>
      <c r="T271" s="981"/>
      <c r="U271" s="981"/>
      <c r="V271" s="981"/>
      <c r="W271" s="981"/>
    </row>
    <row r="272" spans="8:23" x14ac:dyDescent="0.25">
      <c r="H272" s="96"/>
    </row>
    <row r="273" spans="8:8" x14ac:dyDescent="0.25">
      <c r="H273" s="96"/>
    </row>
    <row r="274" spans="8:8" x14ac:dyDescent="0.25">
      <c r="H274" s="96"/>
    </row>
    <row r="275" spans="8:8" x14ac:dyDescent="0.25">
      <c r="H275" s="96"/>
    </row>
    <row r="276" spans="8:8" x14ac:dyDescent="0.25">
      <c r="H276" s="96"/>
    </row>
    <row r="277" spans="8:8" x14ac:dyDescent="0.25">
      <c r="H277" s="96"/>
    </row>
    <row r="278" spans="8:8" x14ac:dyDescent="0.25">
      <c r="H278" s="96"/>
    </row>
    <row r="279" spans="8:8" x14ac:dyDescent="0.25">
      <c r="H279" s="96"/>
    </row>
    <row r="280" spans="8:8" x14ac:dyDescent="0.25">
      <c r="H280" s="96"/>
    </row>
    <row r="281" spans="8:8" x14ac:dyDescent="0.25">
      <c r="H281" s="96"/>
    </row>
    <row r="282" spans="8:8" x14ac:dyDescent="0.25">
      <c r="H282" s="96"/>
    </row>
    <row r="283" spans="8:8" x14ac:dyDescent="0.25">
      <c r="H283" s="96"/>
    </row>
    <row r="284" spans="8:8" x14ac:dyDescent="0.25">
      <c r="H284" s="96"/>
    </row>
    <row r="285" spans="8:8" x14ac:dyDescent="0.25">
      <c r="H285" s="96"/>
    </row>
    <row r="286" spans="8:8" x14ac:dyDescent="0.25">
      <c r="H286" s="96"/>
    </row>
    <row r="287" spans="8:8" x14ac:dyDescent="0.25">
      <c r="H287" s="96"/>
    </row>
    <row r="288" spans="8:8" x14ac:dyDescent="0.25">
      <c r="H288" s="96"/>
    </row>
    <row r="289" spans="8:8" x14ac:dyDescent="0.25">
      <c r="H289" s="96"/>
    </row>
    <row r="290" spans="8:8" x14ac:dyDescent="0.25">
      <c r="H290" s="96"/>
    </row>
    <row r="291" spans="8:8" x14ac:dyDescent="0.25">
      <c r="H291" s="96"/>
    </row>
    <row r="292" spans="8:8" x14ac:dyDescent="0.25">
      <c r="H292" s="96"/>
    </row>
    <row r="293" spans="8:8" x14ac:dyDescent="0.25">
      <c r="H293" s="96"/>
    </row>
    <row r="294" spans="8:8" x14ac:dyDescent="0.25">
      <c r="H294" s="96"/>
    </row>
    <row r="295" spans="8:8" x14ac:dyDescent="0.25">
      <c r="H295" s="96"/>
    </row>
    <row r="296" spans="8:8" x14ac:dyDescent="0.25">
      <c r="H296" s="96"/>
    </row>
    <row r="297" spans="8:8" x14ac:dyDescent="0.25">
      <c r="H297" s="96"/>
    </row>
    <row r="298" spans="8:8" x14ac:dyDescent="0.25">
      <c r="H298" s="96"/>
    </row>
    <row r="299" spans="8:8" x14ac:dyDescent="0.25">
      <c r="H299" s="96"/>
    </row>
    <row r="300" spans="8:8" x14ac:dyDescent="0.25">
      <c r="H300" s="96"/>
    </row>
    <row r="301" spans="8:8" x14ac:dyDescent="0.25">
      <c r="H301" s="96"/>
    </row>
    <row r="302" spans="8:8" x14ac:dyDescent="0.25">
      <c r="H302" s="96"/>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495" priority="5">
      <formula>$Z2=2</formula>
    </cfRule>
  </conditionalFormatting>
  <conditionalFormatting sqref="I2">
    <cfRule type="expression" dxfId="494" priority="165">
      <formula>I2&gt;#REF!</formula>
    </cfRule>
  </conditionalFormatting>
  <conditionalFormatting sqref="I78:I80 I82:I107 I7:I36 I38:I76">
    <cfRule type="expression" dxfId="493" priority="3">
      <formula>I7="FEIL"</formula>
    </cfRule>
  </conditionalFormatting>
  <conditionalFormatting sqref="I77">
    <cfRule type="expression" dxfId="492" priority="2">
      <formula>I77="FEIL"</formula>
    </cfRule>
  </conditionalFormatting>
  <conditionalFormatting sqref="I81">
    <cfRule type="expression" dxfId="491"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opLeftCell="A210" zoomScale="85" zoomScaleNormal="85" workbookViewId="0">
      <pane xSplit="5" topLeftCell="AR1" activePane="topRight" state="frozen"/>
      <selection activeCell="A142" sqref="A142"/>
      <selection pane="topRight" activeCell="BE258" sqref="BE258"/>
    </sheetView>
  </sheetViews>
  <sheetFormatPr defaultColWidth="9.140625" defaultRowHeight="15" x14ac:dyDescent="0.25"/>
  <cols>
    <col min="1" max="1" width="8.42578125" style="96" customWidth="1"/>
    <col min="2" max="3" width="10.7109375" style="96" customWidth="1"/>
    <col min="4" max="4" width="8.7109375" style="96" customWidth="1"/>
    <col min="5" max="5" width="60.85546875" style="96" customWidth="1"/>
    <col min="6" max="14" width="11.28515625" style="763" customWidth="1"/>
    <col min="15" max="15" width="11.5703125" style="763" customWidth="1"/>
    <col min="16" max="18" width="11.28515625" style="763" customWidth="1"/>
    <col min="19" max="19" width="11.5703125" style="96" customWidth="1"/>
    <col min="20" max="20" width="15.7109375" style="96" customWidth="1"/>
    <col min="21" max="21" width="7" style="96" customWidth="1"/>
    <col min="22" max="22" width="5.5703125" style="96" customWidth="1"/>
    <col min="23" max="23" width="6.5703125" style="96" customWidth="1"/>
    <col min="24" max="24" width="6.85546875" style="96" customWidth="1"/>
    <col min="25" max="25" width="9.42578125" style="96" customWidth="1"/>
    <col min="26" max="26" width="11.28515625" style="96" customWidth="1"/>
    <col min="27" max="27" width="5.7109375" style="96" customWidth="1"/>
    <col min="28" max="28" width="14" style="96" customWidth="1"/>
    <col min="29" max="29" width="6.85546875" style="96" customWidth="1"/>
    <col min="30" max="30" width="14.5703125" style="96" customWidth="1"/>
    <col min="31" max="33" width="17.5703125" style="96" customWidth="1"/>
    <col min="34" max="34" width="8.42578125" style="96" customWidth="1"/>
    <col min="35" max="35" width="14.42578125" style="96" customWidth="1"/>
    <col min="36" max="36" width="10.42578125" style="96" customWidth="1"/>
    <col min="37" max="37" width="9.5703125" style="96" customWidth="1"/>
    <col min="38" max="38" width="9.42578125" style="96" customWidth="1"/>
    <col min="39" max="43" width="4.28515625" style="96" customWidth="1"/>
    <col min="44" max="44" width="3.7109375" style="96" customWidth="1"/>
    <col min="45" max="49" width="4.28515625" style="96" customWidth="1"/>
    <col min="50" max="50" width="3.140625" style="96" customWidth="1"/>
    <col min="51" max="54" width="4" style="96" customWidth="1"/>
    <col min="55" max="55" width="4.28515625" style="96" customWidth="1"/>
    <col min="56" max="56" width="10.85546875" style="96" customWidth="1"/>
    <col min="57" max="57" width="26.7109375" style="96" customWidth="1"/>
    <col min="58" max="58" width="5.85546875" style="96" customWidth="1"/>
    <col min="59" max="59" width="6.7109375" style="96" customWidth="1"/>
    <col min="60" max="60" width="26.7109375" style="96" customWidth="1"/>
    <col min="61" max="61" width="6.5703125" style="96" customWidth="1"/>
    <col min="62" max="62" width="6.7109375" style="96" customWidth="1"/>
    <col min="63" max="63" width="26.7109375" style="96" customWidth="1"/>
    <col min="64" max="64" width="5.7109375" style="96" customWidth="1"/>
    <col min="65" max="65" width="9.140625" style="96" customWidth="1"/>
    <col min="66" max="66" width="4.42578125" style="96" customWidth="1"/>
    <col min="67" max="67" width="10.28515625" style="96" customWidth="1"/>
    <col min="68" max="68" width="13.28515625" style="96" customWidth="1"/>
    <col min="69" max="69" width="12.7109375" style="96" customWidth="1"/>
    <col min="70" max="70" width="10.140625" style="96" customWidth="1"/>
    <col min="71" max="71" width="9" style="96" customWidth="1"/>
    <col min="72" max="72" width="15.140625" style="96" bestFit="1" customWidth="1"/>
    <col min="73" max="73" width="9.140625" style="96" customWidth="1"/>
    <col min="74" max="74" width="10.140625" style="96" customWidth="1"/>
    <col min="75" max="75" width="9.140625" style="96"/>
    <col min="76" max="76" width="30.7109375" style="96" bestFit="1" customWidth="1"/>
    <col min="77" max="77" width="14.7109375" style="96" bestFit="1" customWidth="1"/>
    <col min="78" max="79" width="9.140625" style="96"/>
    <col min="80" max="80" width="20.85546875" style="96" bestFit="1" customWidth="1"/>
    <col min="81" max="81" width="11.28515625" style="96" bestFit="1" customWidth="1"/>
    <col min="82" max="82" width="8.7109375" style="96" bestFit="1" customWidth="1"/>
    <col min="83" max="83" width="12.7109375" style="96" bestFit="1" customWidth="1"/>
    <col min="84" max="84" width="9.140625" style="96"/>
    <col min="85" max="85" width="14.28515625" style="96" bestFit="1" customWidth="1"/>
    <col min="86" max="86" width="9.140625" style="96"/>
    <col min="87" max="87" width="12.28515625" style="96" customWidth="1"/>
    <col min="88" max="16384" width="9.140625" style="96"/>
  </cols>
  <sheetData>
    <row r="1" spans="1:90" x14ac:dyDescent="0.25">
      <c r="B1" s="667">
        <v>1</v>
      </c>
      <c r="C1" s="667">
        <v>2</v>
      </c>
      <c r="D1" s="667">
        <v>3</v>
      </c>
      <c r="E1" s="667">
        <v>4</v>
      </c>
      <c r="F1" s="667">
        <v>5</v>
      </c>
      <c r="G1" s="667">
        <v>6</v>
      </c>
      <c r="H1" s="667">
        <v>7</v>
      </c>
      <c r="I1" s="667">
        <v>8</v>
      </c>
      <c r="J1" s="667">
        <v>9</v>
      </c>
      <c r="K1" s="667">
        <v>10</v>
      </c>
      <c r="L1" s="667">
        <v>11</v>
      </c>
      <c r="M1" s="667">
        <v>12</v>
      </c>
      <c r="N1" s="667">
        <v>13</v>
      </c>
      <c r="O1" s="667">
        <v>14</v>
      </c>
      <c r="P1" s="667">
        <v>15</v>
      </c>
      <c r="Q1" s="667">
        <v>16</v>
      </c>
      <c r="R1" s="667">
        <v>17</v>
      </c>
      <c r="S1" s="667">
        <v>18</v>
      </c>
      <c r="T1" s="667">
        <v>19</v>
      </c>
      <c r="U1" s="667">
        <v>20</v>
      </c>
      <c r="V1" s="667">
        <v>21</v>
      </c>
      <c r="W1" s="667">
        <v>22</v>
      </c>
      <c r="X1" s="667">
        <v>23</v>
      </c>
      <c r="Y1" s="667">
        <v>24</v>
      </c>
      <c r="Z1" s="667">
        <v>25</v>
      </c>
      <c r="AA1" s="667">
        <v>26</v>
      </c>
      <c r="AB1" s="667">
        <v>27</v>
      </c>
      <c r="AC1" s="667">
        <v>28</v>
      </c>
      <c r="AD1" s="667">
        <v>29</v>
      </c>
      <c r="AE1" s="667">
        <v>30</v>
      </c>
      <c r="AF1" s="667">
        <v>31</v>
      </c>
      <c r="AG1" s="667">
        <v>32</v>
      </c>
      <c r="AH1" s="667">
        <v>33</v>
      </c>
      <c r="AI1" s="667">
        <v>34</v>
      </c>
      <c r="AJ1" s="667">
        <v>35</v>
      </c>
      <c r="AK1" s="667">
        <v>36</v>
      </c>
      <c r="AL1" s="667">
        <v>37</v>
      </c>
      <c r="AM1" s="667">
        <v>38</v>
      </c>
      <c r="AN1" s="667">
        <v>39</v>
      </c>
      <c r="AO1" s="667">
        <v>40</v>
      </c>
      <c r="AP1" s="667">
        <v>41</v>
      </c>
      <c r="AQ1" s="667">
        <v>42</v>
      </c>
      <c r="AR1" s="667">
        <v>43</v>
      </c>
      <c r="AS1" s="667">
        <v>44</v>
      </c>
      <c r="AT1" s="667">
        <v>45</v>
      </c>
      <c r="AU1" s="667">
        <v>46</v>
      </c>
      <c r="AV1" s="667">
        <v>47</v>
      </c>
      <c r="AW1" s="667">
        <v>48</v>
      </c>
      <c r="AX1" s="667">
        <v>49</v>
      </c>
      <c r="AY1" s="667">
        <v>50</v>
      </c>
      <c r="AZ1" s="667">
        <v>51</v>
      </c>
      <c r="BA1" s="667">
        <v>52</v>
      </c>
      <c r="BB1" s="667">
        <v>53</v>
      </c>
      <c r="BC1" s="667">
        <v>54</v>
      </c>
      <c r="BD1" s="667">
        <v>55</v>
      </c>
      <c r="BE1" s="667">
        <v>56</v>
      </c>
      <c r="BF1" s="667">
        <v>57</v>
      </c>
      <c r="BG1" s="667">
        <v>58</v>
      </c>
      <c r="BH1" s="667">
        <v>59</v>
      </c>
      <c r="BI1" s="667">
        <v>60</v>
      </c>
      <c r="BJ1" s="667">
        <v>61</v>
      </c>
      <c r="BK1" s="667">
        <v>62</v>
      </c>
      <c r="BL1" s="667">
        <v>63</v>
      </c>
      <c r="BM1" s="667">
        <v>64</v>
      </c>
      <c r="BN1" s="667">
        <v>65</v>
      </c>
      <c r="BO1" s="667">
        <v>66</v>
      </c>
      <c r="BP1" s="667">
        <v>67</v>
      </c>
      <c r="BQ1" s="667">
        <v>68</v>
      </c>
      <c r="BR1" s="667">
        <v>69</v>
      </c>
      <c r="BS1" s="667">
        <v>70</v>
      </c>
      <c r="BT1" s="667">
        <v>71</v>
      </c>
    </row>
    <row r="2" spans="1:90" x14ac:dyDescent="0.25">
      <c r="D2" s="96">
        <v>1</v>
      </c>
      <c r="E2" s="96">
        <v>2</v>
      </c>
      <c r="F2" s="763">
        <v>3</v>
      </c>
      <c r="G2" s="763">
        <v>4</v>
      </c>
      <c r="H2" s="763">
        <v>5</v>
      </c>
      <c r="I2" s="763">
        <v>6</v>
      </c>
      <c r="J2" s="763">
        <v>7</v>
      </c>
      <c r="K2" s="763">
        <v>8</v>
      </c>
      <c r="L2" s="763">
        <v>9</v>
      </c>
      <c r="M2" s="763">
        <v>10</v>
      </c>
      <c r="N2" s="763">
        <v>11</v>
      </c>
      <c r="O2" s="763">
        <v>12</v>
      </c>
      <c r="P2" s="763">
        <v>13</v>
      </c>
      <c r="Q2" s="763">
        <v>14</v>
      </c>
      <c r="R2" s="763">
        <v>15</v>
      </c>
      <c r="S2" s="763">
        <v>16</v>
      </c>
      <c r="T2" s="763">
        <v>17</v>
      </c>
      <c r="U2" s="763">
        <v>18</v>
      </c>
      <c r="V2" s="763">
        <v>19</v>
      </c>
      <c r="W2" s="763">
        <v>20</v>
      </c>
      <c r="X2" s="763">
        <v>21</v>
      </c>
      <c r="Y2" s="763">
        <v>22</v>
      </c>
      <c r="Z2" s="763">
        <v>23</v>
      </c>
      <c r="AA2" s="763">
        <v>24</v>
      </c>
      <c r="AB2" s="763">
        <v>25</v>
      </c>
      <c r="AC2" s="763">
        <v>26</v>
      </c>
      <c r="AD2" s="763">
        <v>27</v>
      </c>
      <c r="AE2" s="763">
        <v>28</v>
      </c>
      <c r="AF2" s="763">
        <v>29</v>
      </c>
      <c r="AG2" s="763">
        <v>30</v>
      </c>
      <c r="AH2" s="763">
        <v>31</v>
      </c>
      <c r="AI2" s="763">
        <v>32</v>
      </c>
      <c r="AJ2" s="763">
        <v>33</v>
      </c>
      <c r="AK2" s="763">
        <v>34</v>
      </c>
      <c r="AL2" s="763">
        <v>35</v>
      </c>
      <c r="AM2" s="763">
        <v>36</v>
      </c>
      <c r="AN2" s="763">
        <v>37</v>
      </c>
      <c r="AO2" s="763">
        <v>38</v>
      </c>
      <c r="AP2" s="763">
        <v>39</v>
      </c>
      <c r="AQ2" s="763">
        <v>40</v>
      </c>
      <c r="AR2" s="763">
        <v>41</v>
      </c>
      <c r="AS2" s="763">
        <v>42</v>
      </c>
      <c r="AT2" s="763">
        <v>43</v>
      </c>
      <c r="AU2" s="763">
        <v>44</v>
      </c>
      <c r="AV2" s="763">
        <v>45</v>
      </c>
      <c r="AW2" s="763">
        <v>46</v>
      </c>
      <c r="AX2" s="763">
        <v>47</v>
      </c>
      <c r="AY2" s="763">
        <v>48</v>
      </c>
      <c r="AZ2" s="763">
        <v>49</v>
      </c>
      <c r="BA2" s="763">
        <v>50</v>
      </c>
      <c r="BB2" s="763">
        <v>51</v>
      </c>
      <c r="BC2" s="763">
        <v>52</v>
      </c>
      <c r="BD2" s="763">
        <v>53</v>
      </c>
      <c r="BE2" s="763">
        <v>54</v>
      </c>
      <c r="BF2" s="763">
        <v>55</v>
      </c>
      <c r="BG2" s="763">
        <v>56</v>
      </c>
      <c r="BH2" s="763">
        <v>57</v>
      </c>
      <c r="BI2" s="763">
        <v>58</v>
      </c>
      <c r="BJ2" s="763">
        <v>59</v>
      </c>
      <c r="BK2" s="763">
        <v>60</v>
      </c>
      <c r="BL2" s="763">
        <v>61</v>
      </c>
    </row>
    <row r="3" spans="1:90" ht="15.75" thickBot="1" x14ac:dyDescent="0.3">
      <c r="A3" s="137" t="s">
        <v>87</v>
      </c>
      <c r="B3" s="137"/>
      <c r="C3" s="137"/>
      <c r="D3" s="137"/>
      <c r="E3" s="137"/>
      <c r="F3" s="764"/>
      <c r="G3" s="764"/>
      <c r="H3" s="764"/>
      <c r="I3" s="764"/>
      <c r="J3" s="764"/>
      <c r="K3" s="764"/>
      <c r="L3" s="764"/>
      <c r="M3" s="764"/>
      <c r="N3" s="764"/>
      <c r="O3" s="764"/>
      <c r="P3" s="764"/>
      <c r="Q3" s="764"/>
      <c r="R3" s="764"/>
      <c r="Y3" s="96" t="s">
        <v>35</v>
      </c>
    </row>
    <row r="4" spans="1:90" ht="15.75" thickBot="1" x14ac:dyDescent="0.3">
      <c r="G4" s="763" t="s">
        <v>404</v>
      </c>
      <c r="K4" s="1240" t="s">
        <v>1033</v>
      </c>
      <c r="Y4" s="137" t="str">
        <f>ADPT</f>
        <v>New Construction (fully fitted)</v>
      </c>
      <c r="BX4" s="678" t="s">
        <v>423</v>
      </c>
      <c r="BY4" s="679" t="s">
        <v>409</v>
      </c>
      <c r="CA4" s="673" t="s">
        <v>429</v>
      </c>
      <c r="CB4" s="96">
        <v>0</v>
      </c>
      <c r="CC4" s="96" t="s">
        <v>13</v>
      </c>
    </row>
    <row r="5" spans="1:90" ht="15.75" thickBot="1" x14ac:dyDescent="0.3">
      <c r="E5" s="138" t="s">
        <v>100</v>
      </c>
      <c r="G5" s="763" t="s">
        <v>405</v>
      </c>
      <c r="H5" s="765"/>
      <c r="K5" s="1242" t="s">
        <v>1034</v>
      </c>
      <c r="R5" s="766"/>
      <c r="Y5" s="96" t="str">
        <f>'Assessment Details'!Q12</f>
        <v>New Construction (shell and core)</v>
      </c>
      <c r="AB5" s="345" t="s">
        <v>335</v>
      </c>
      <c r="AC5" s="346" t="str">
        <f>'Manuell filtrering og justering'!I2</f>
        <v>No</v>
      </c>
      <c r="BX5" s="256" t="str">
        <f>'Pre-Assessment Estimator'!AJ4</f>
        <v>Nei</v>
      </c>
      <c r="BY5" s="241" t="str">
        <f>'Pre-Assessment Estimator'!AJ8</f>
        <v>Ja</v>
      </c>
      <c r="CA5" s="680" t="s">
        <v>431</v>
      </c>
      <c r="CB5" s="96">
        <v>1</v>
      </c>
    </row>
    <row r="6" spans="1:90" ht="15.75" thickBot="1" x14ac:dyDescent="0.3">
      <c r="E6" s="140" t="str">
        <f>ADBT0</f>
        <v>Office</v>
      </c>
      <c r="G6" s="763" t="s">
        <v>14</v>
      </c>
      <c r="K6" s="1244" t="s">
        <v>1035</v>
      </c>
      <c r="Y6" s="96" t="str">
        <f>ADPT02</f>
        <v>New Construction (shell only)</v>
      </c>
      <c r="BC6" s="141"/>
    </row>
    <row r="7" spans="1:90" ht="15.75" thickBot="1" x14ac:dyDescent="0.3">
      <c r="F7" s="952" t="s">
        <v>880</v>
      </c>
      <c r="K7" s="1246" t="s">
        <v>1036</v>
      </c>
      <c r="AE7" s="1345" t="s">
        <v>82</v>
      </c>
      <c r="AF7" s="1345"/>
      <c r="AG7" s="1345"/>
      <c r="BC7" s="141"/>
    </row>
    <row r="8" spans="1:90" ht="51" customHeight="1" thickBot="1" x14ac:dyDescent="0.3">
      <c r="D8" s="142" t="s">
        <v>99</v>
      </c>
      <c r="E8" s="143" t="s">
        <v>86</v>
      </c>
      <c r="F8" s="1349" t="s">
        <v>538</v>
      </c>
      <c r="G8" s="1350"/>
      <c r="H8" s="1350"/>
      <c r="I8" s="1350"/>
      <c r="J8" s="1350"/>
      <c r="K8" s="1350"/>
      <c r="L8" s="1350"/>
      <c r="M8" s="1350"/>
      <c r="N8" s="1350"/>
      <c r="O8" s="1350"/>
      <c r="P8" s="1350"/>
      <c r="Q8" s="1350"/>
      <c r="R8" s="1350"/>
      <c r="T8" s="57" t="s">
        <v>228</v>
      </c>
      <c r="U8" s="1351" t="s">
        <v>229</v>
      </c>
      <c r="V8" s="1352"/>
      <c r="W8" s="1352"/>
      <c r="X8" s="1352"/>
      <c r="Y8" s="1352"/>
      <c r="Z8" s="1353"/>
      <c r="AA8" s="144" t="s">
        <v>214</v>
      </c>
      <c r="AB8" s="59" t="s">
        <v>15</v>
      </c>
      <c r="AD8" s="926" t="s">
        <v>81</v>
      </c>
      <c r="AE8" s="927" t="s">
        <v>230</v>
      </c>
      <c r="AF8" s="927" t="s">
        <v>231</v>
      </c>
      <c r="AG8" s="927" t="s">
        <v>232</v>
      </c>
      <c r="AI8" s="59" t="s">
        <v>230</v>
      </c>
      <c r="AJ8" s="59" t="s">
        <v>231</v>
      </c>
      <c r="AK8" s="59" t="s">
        <v>232</v>
      </c>
      <c r="AM8" s="1354" t="s">
        <v>237</v>
      </c>
      <c r="AN8" s="1355"/>
      <c r="AO8" s="1355"/>
      <c r="AP8" s="1355"/>
      <c r="AQ8" s="1356"/>
      <c r="AS8" s="1354" t="s">
        <v>9</v>
      </c>
      <c r="AT8" s="1355"/>
      <c r="AU8" s="1355"/>
      <c r="AV8" s="1355"/>
      <c r="AW8" s="1356"/>
      <c r="AY8" s="1354" t="str">
        <f>"Chosen "&amp;E6</f>
        <v>Chosen Office</v>
      </c>
      <c r="AZ8" s="1355"/>
      <c r="BA8" s="1355"/>
      <c r="BB8" s="1355"/>
      <c r="BC8" s="1355"/>
      <c r="BD8" s="1363" t="s">
        <v>230</v>
      </c>
      <c r="BE8" s="1364"/>
      <c r="BF8" s="1364"/>
      <c r="BG8" s="1365" t="s">
        <v>231</v>
      </c>
      <c r="BH8" s="1361"/>
      <c r="BI8" s="1362"/>
      <c r="BJ8" s="1360" t="s">
        <v>232</v>
      </c>
      <c r="BK8" s="1361"/>
      <c r="BL8" s="1362"/>
      <c r="BO8" s="1357" t="s">
        <v>972</v>
      </c>
      <c r="BP8" s="1358"/>
      <c r="BQ8" s="1359"/>
      <c r="BR8" s="1143"/>
      <c r="BS8" s="1143"/>
      <c r="BT8" s="1143"/>
      <c r="BW8" s="251" t="s">
        <v>424</v>
      </c>
      <c r="BX8" s="251"/>
      <c r="BY8" s="251"/>
      <c r="BZ8" s="251"/>
      <c r="CA8" s="251"/>
      <c r="CB8" s="251"/>
      <c r="CC8" s="682" t="s">
        <v>434</v>
      </c>
      <c r="CD8" s="682" t="s">
        <v>436</v>
      </c>
      <c r="CE8" s="251" t="s">
        <v>433</v>
      </c>
      <c r="CF8" s="251"/>
      <c r="CG8" s="251"/>
      <c r="CH8" s="251"/>
      <c r="CI8" s="686" t="s">
        <v>458</v>
      </c>
      <c r="CJ8" s="251"/>
      <c r="CK8" s="251"/>
      <c r="CL8" s="251"/>
    </row>
    <row r="9" spans="1:90" ht="58.5" customHeight="1" thickBot="1" x14ac:dyDescent="0.3">
      <c r="A9" s="96">
        <v>1</v>
      </c>
      <c r="D9" s="151"/>
      <c r="E9" s="152" t="s">
        <v>62</v>
      </c>
      <c r="F9" s="1241" t="str">
        <f>ADBT2</f>
        <v>Office</v>
      </c>
      <c r="G9" s="1241" t="str">
        <f>ADBT3</f>
        <v>Retail</v>
      </c>
      <c r="H9" s="1245" t="str">
        <f>ADBT12</f>
        <v>Residential</v>
      </c>
      <c r="I9" s="1241" t="str">
        <f>ADBT1</f>
        <v>Industrial</v>
      </c>
      <c r="J9" s="1243" t="str">
        <f>ADBT13</f>
        <v>Healthcare</v>
      </c>
      <c r="K9" s="1243" t="str">
        <f>ADBT14</f>
        <v>Prison</v>
      </c>
      <c r="L9" s="1243" t="str">
        <f>ADBT15</f>
        <v>Law Court</v>
      </c>
      <c r="M9" s="1247" t="str">
        <f>ADBT16</f>
        <v>Residential institution (long term stay)</v>
      </c>
      <c r="N9" s="918" t="str">
        <f>ADBT17</f>
        <v>Residential institution (short term stay)</v>
      </c>
      <c r="O9" s="918" t="str">
        <f>ADBT18</f>
        <v>Non-residential institution</v>
      </c>
      <c r="P9" s="918" t="str">
        <f>ADBT19</f>
        <v>Assembly and leisure</v>
      </c>
      <c r="Q9" s="1243" t="str">
        <f>ADBT8</f>
        <v>Education</v>
      </c>
      <c r="R9" s="857" t="str">
        <f>ADBT20</f>
        <v>Other</v>
      </c>
      <c r="T9" s="147" t="str">
        <f>$E$6</f>
        <v>Office</v>
      </c>
      <c r="U9" s="148"/>
      <c r="V9" s="149"/>
      <c r="W9" s="149"/>
      <c r="X9" s="1162"/>
      <c r="Y9" s="1176" t="s">
        <v>412</v>
      </c>
      <c r="Z9" s="1174" t="s">
        <v>335</v>
      </c>
      <c r="AA9" s="1169" t="s">
        <v>214</v>
      </c>
      <c r="AB9" s="1170"/>
      <c r="AI9" s="77"/>
      <c r="AJ9" s="60"/>
      <c r="AK9" s="60"/>
      <c r="AM9" s="151" t="s">
        <v>88</v>
      </c>
      <c r="AN9" s="152" t="s">
        <v>89</v>
      </c>
      <c r="AO9" s="152" t="s">
        <v>90</v>
      </c>
      <c r="AP9" s="152" t="s">
        <v>236</v>
      </c>
      <c r="AQ9" s="153" t="s">
        <v>91</v>
      </c>
      <c r="AS9" s="145" t="s">
        <v>88</v>
      </c>
      <c r="AT9" s="146" t="s">
        <v>89</v>
      </c>
      <c r="AU9" s="146" t="s">
        <v>90</v>
      </c>
      <c r="AV9" s="146" t="s">
        <v>236</v>
      </c>
      <c r="AW9" s="154" t="s">
        <v>91</v>
      </c>
      <c r="AY9" s="145" t="s">
        <v>88</v>
      </c>
      <c r="AZ9" s="146" t="s">
        <v>89</v>
      </c>
      <c r="BA9" s="146" t="s">
        <v>90</v>
      </c>
      <c r="BB9" s="146" t="s">
        <v>236</v>
      </c>
      <c r="BC9" s="155" t="s">
        <v>91</v>
      </c>
      <c r="BD9" s="156" t="s">
        <v>238</v>
      </c>
      <c r="BE9" s="157" t="s">
        <v>51</v>
      </c>
      <c r="BF9" s="157"/>
      <c r="BG9" s="158" t="s">
        <v>238</v>
      </c>
      <c r="BH9" s="159" t="s">
        <v>51</v>
      </c>
      <c r="BI9" s="160"/>
      <c r="BJ9" s="161" t="s">
        <v>238</v>
      </c>
      <c r="BK9" s="159" t="s">
        <v>51</v>
      </c>
      <c r="BL9" s="162"/>
      <c r="BO9" s="682" t="s">
        <v>973</v>
      </c>
      <c r="BP9" s="682" t="s">
        <v>974</v>
      </c>
      <c r="BQ9" s="1146" t="s">
        <v>975</v>
      </c>
      <c r="BR9" s="1143" t="s">
        <v>976</v>
      </c>
      <c r="BS9" s="1143" t="s">
        <v>977</v>
      </c>
      <c r="BT9" s="1143" t="s">
        <v>978</v>
      </c>
      <c r="BW9" s="146"/>
      <c r="BX9" s="146" t="str">
        <f>E9</f>
        <v>Management</v>
      </c>
      <c r="BY9" s="146" t="s">
        <v>427</v>
      </c>
      <c r="BZ9" s="146" t="s">
        <v>425</v>
      </c>
      <c r="CA9" s="146" t="s">
        <v>435</v>
      </c>
      <c r="CB9" s="146" t="s">
        <v>432</v>
      </c>
      <c r="CG9" s="96" t="s">
        <v>428</v>
      </c>
    </row>
    <row r="10" spans="1:90" x14ac:dyDescent="0.25">
      <c r="A10" s="96">
        <v>2</v>
      </c>
      <c r="B10" s="137" t="str">
        <f>D10</f>
        <v>Man 01</v>
      </c>
      <c r="C10" s="137" t="str">
        <f>B10</f>
        <v>Man 01</v>
      </c>
      <c r="D10" s="832" t="s">
        <v>92</v>
      </c>
      <c r="E10" s="832" t="s">
        <v>306</v>
      </c>
      <c r="F10" s="933">
        <f>SUM(F11:F15)</f>
        <v>5</v>
      </c>
      <c r="G10" s="933">
        <f t="shared" ref="G10:R10" si="0">SUM(G11:G15)</f>
        <v>5</v>
      </c>
      <c r="H10" s="933">
        <f t="shared" si="0"/>
        <v>5</v>
      </c>
      <c r="I10" s="933">
        <f t="shared" si="0"/>
        <v>5</v>
      </c>
      <c r="J10" s="933">
        <f t="shared" si="0"/>
        <v>5</v>
      </c>
      <c r="K10" s="933">
        <f t="shared" si="0"/>
        <v>5</v>
      </c>
      <c r="L10" s="933">
        <f t="shared" si="0"/>
        <v>5</v>
      </c>
      <c r="M10" s="933">
        <f t="shared" si="0"/>
        <v>5</v>
      </c>
      <c r="N10" s="933">
        <f t="shared" si="0"/>
        <v>5</v>
      </c>
      <c r="O10" s="933">
        <f t="shared" si="0"/>
        <v>5</v>
      </c>
      <c r="P10" s="933">
        <f t="shared" si="0"/>
        <v>5</v>
      </c>
      <c r="Q10" s="933">
        <f t="shared" ref="Q10" si="1">SUM(Q11:Q15)</f>
        <v>5</v>
      </c>
      <c r="R10" s="933">
        <f t="shared" si="0"/>
        <v>5</v>
      </c>
      <c r="S10" s="667"/>
      <c r="T10" s="919">
        <f t="shared" ref="T10:T36" si="2">HLOOKUP($E$6,$F$9:$R$231,$A10,FALSE)</f>
        <v>5</v>
      </c>
      <c r="U10" s="166"/>
      <c r="V10" s="167"/>
      <c r="W10" s="167"/>
      <c r="X10" s="168">
        <f>'Manuell filtrering og justering'!E7</f>
        <v>0</v>
      </c>
      <c r="Y10" s="169"/>
      <c r="Z10" s="1175">
        <f t="shared" ref="Z10" si="3">SUM(Z11:Z15)</f>
        <v>6</v>
      </c>
      <c r="AA10" s="1167">
        <f>IF(SUM(U10:Y10)&gt;T10,T10,SUM(U10:Y10))</f>
        <v>0</v>
      </c>
      <c r="AB10" s="1171">
        <f>SUM(AB11:AB15)</f>
        <v>5</v>
      </c>
      <c r="AD10" s="921">
        <f t="shared" ref="AD10:AD33" si="4">(Man_Weight/Man_Credits)*AB10</f>
        <v>3.0952380952380953E-2</v>
      </c>
      <c r="AE10" s="921">
        <f>SUM(AE11:AE15)</f>
        <v>0</v>
      </c>
      <c r="AF10" s="921">
        <f>SUM(AF11:AF15)</f>
        <v>0</v>
      </c>
      <c r="AG10" s="921">
        <f>SUM(AG11:AG15)</f>
        <v>0</v>
      </c>
      <c r="AI10" s="922">
        <f t="shared" ref="AI10:AK10" si="5">SUM(AI11:AI15)</f>
        <v>0</v>
      </c>
      <c r="AJ10" s="922">
        <f t="shared" si="5"/>
        <v>0</v>
      </c>
      <c r="AK10" s="922">
        <f t="shared" si="5"/>
        <v>0</v>
      </c>
      <c r="AM10" s="173"/>
      <c r="AN10" s="290"/>
      <c r="AO10" s="290"/>
      <c r="AP10" s="181"/>
      <c r="AQ10" s="186"/>
      <c r="AS10" s="291"/>
      <c r="AT10" s="181"/>
      <c r="AU10" s="181"/>
      <c r="AV10" s="181"/>
      <c r="AW10" s="186"/>
      <c r="AX10" s="141"/>
      <c r="AY10" s="174"/>
      <c r="AZ10" s="175"/>
      <c r="BA10" s="175"/>
      <c r="BB10" s="175"/>
      <c r="BC10" s="176"/>
      <c r="BD10" s="174">
        <f>IF(BC10=0,9,IF(AI10&gt;=BC10,5,IF(AI10&gt;=BB10,4,IF(AI10&gt;=BA10,3,IF(AI10&gt;=AZ10,2,IF(AI10&lt;AY10,0,1))))))</f>
        <v>9</v>
      </c>
      <c r="BE10" s="177" t="str">
        <f t="shared" ref="BE10:BE35" si="6">VLOOKUP(BD10,$BO$284:$BT$290,6,FALSE)</f>
        <v>N/A</v>
      </c>
      <c r="BF10" s="178"/>
      <c r="BG10" s="174">
        <f t="shared" ref="BG10:BG35" si="7">IF(BC10=0,9,IF(AJ10&gt;=BC10,5,IF(AJ10&gt;=BB10,4,IF(AJ10&gt;=BA10,3,IF(AJ10&gt;=AZ10,2,IF(AJ10&lt;AY10,0,1))))))</f>
        <v>9</v>
      </c>
      <c r="BH10" s="177" t="str">
        <f t="shared" ref="BH10:BH35" si="8">VLOOKUP(BG10,$BO$284:$BT$290,6,FALSE)</f>
        <v>N/A</v>
      </c>
      <c r="BI10" s="178"/>
      <c r="BJ10" s="174">
        <f>IF(BC10=0,9,IF(AK10&gt;=BC10,5,IF(AK10&gt;=BB10,4,IF(AK10&gt;=BA10,3,IF(AK10&gt;=AZ10,2,IF(AK10&lt;AY10,0,1))))))</f>
        <v>9</v>
      </c>
      <c r="BK10" s="177" t="str">
        <f t="shared" ref="BK10:BK35" si="9">VLOOKUP(BJ10,$BO$284:$BT$290,6,FALSE)</f>
        <v>N/A</v>
      </c>
      <c r="BL10" s="178"/>
      <c r="BO10" s="167"/>
      <c r="BP10" s="167"/>
      <c r="BQ10" s="167" t="str">
        <f>IF(BO10&lt;&gt;"",BO10,IF(BP10&lt;&gt;"",BP10,""))</f>
        <v/>
      </c>
      <c r="BR10" s="167">
        <f>IF(BQ10="",9,(IF(AI10&gt;=BQ10,5,0)))</f>
        <v>9</v>
      </c>
      <c r="BS10" s="167">
        <f>IF(BQ10="",9,(IF(AJ10&gt;=BQ10,5,0)))</f>
        <v>9</v>
      </c>
      <c r="BT10" s="167">
        <f>IF(BQ10="",9,(IF(AK10&gt;=BQ10,5,0)))</f>
        <v>9</v>
      </c>
      <c r="BW10" s="676" t="str">
        <f>D10</f>
        <v>Man 01</v>
      </c>
      <c r="BX10" s="676" t="str">
        <f>IFERROR(VLOOKUP($E10,'Pre-Assessment Estimator'!$E$11:$AB$226,'Pre-Assessment Estimator'!AB$2,FALSE),"")</f>
        <v>No</v>
      </c>
      <c r="BY10" s="288">
        <f>IFERROR(VLOOKUP($E10,'Pre-Assessment Estimator'!$E$11:$AI$226,'Pre-Assessment Estimator'!AI$2,FALSE),"")</f>
        <v>0</v>
      </c>
      <c r="BZ10" s="288">
        <f>IFERROR(VLOOKUP($BX10,$E$293:$H$326,F$291,FALSE),"")</f>
        <v>1</v>
      </c>
      <c r="CA10" s="288">
        <f>IFERROR(VLOOKUP($BX10,$E$293:$H$326,G$291,FALSE),"")</f>
        <v>0</v>
      </c>
      <c r="CB10" s="288"/>
      <c r="CC10" s="96" t="str">
        <f>IFERROR(VLOOKUP($BX10,$E$293:$H$326,I$291,FALSE),"")</f>
        <v/>
      </c>
    </row>
    <row r="11" spans="1:90" x14ac:dyDescent="0.25">
      <c r="A11" s="96">
        <v>3</v>
      </c>
      <c r="B11" s="96" t="str">
        <f t="shared" ref="B11:B15" si="10">$D$10&amp;D11</f>
        <v>Man 01a</v>
      </c>
      <c r="C11" s="96" t="str">
        <f>C10</f>
        <v>Man 01</v>
      </c>
      <c r="D11" s="167" t="s">
        <v>693</v>
      </c>
      <c r="E11" s="1107" t="s">
        <v>590</v>
      </c>
      <c r="F11" s="775">
        <v>1</v>
      </c>
      <c r="G11" s="775">
        <v>1</v>
      </c>
      <c r="H11" s="775">
        <v>1</v>
      </c>
      <c r="I11" s="775">
        <v>1</v>
      </c>
      <c r="J11" s="775">
        <v>1</v>
      </c>
      <c r="K11" s="775">
        <v>1</v>
      </c>
      <c r="L11" s="775">
        <v>1</v>
      </c>
      <c r="M11" s="775">
        <v>1</v>
      </c>
      <c r="N11" s="775">
        <v>1</v>
      </c>
      <c r="O11" s="775">
        <v>1</v>
      </c>
      <c r="P11" s="775">
        <v>1</v>
      </c>
      <c r="Q11" s="775">
        <v>1</v>
      </c>
      <c r="R11" s="775">
        <v>1</v>
      </c>
      <c r="S11" s="667"/>
      <c r="T11" s="165">
        <f t="shared" si="2"/>
        <v>1</v>
      </c>
      <c r="U11" s="166"/>
      <c r="V11" s="167"/>
      <c r="W11" s="167"/>
      <c r="X11" s="168"/>
      <c r="Y11" s="169"/>
      <c r="Z11" s="1158">
        <f>VLOOKUP(B11,'Manuell filtrering og justering'!$A$7:$H$107,'Manuell filtrering og justering'!$H$1,FALSE)</f>
        <v>1</v>
      </c>
      <c r="AA11" s="1167">
        <f t="shared" ref="AA11:AA35" si="11">IF(SUM(U11:Y11)&gt;T11,T11,SUM(U11:Y11))</f>
        <v>0</v>
      </c>
      <c r="AB11" s="185">
        <f>IF($AC$5='Manuell filtrering og justering'!$J$2,Z11,(T11-AA11))</f>
        <v>1</v>
      </c>
      <c r="AD11" s="171">
        <f t="shared" si="4"/>
        <v>6.1904761904761907E-3</v>
      </c>
      <c r="AE11" s="171">
        <f>IF(AB11=0,0,(AD11/AB11)*AI11)</f>
        <v>0</v>
      </c>
      <c r="AF11" s="171">
        <f>IF(AB11=0,0,(AD11/AB11)*AJ11)</f>
        <v>0</v>
      </c>
      <c r="AG11" s="171">
        <f>IF(AB11=0,0,(AD11/AB11)*AK11)</f>
        <v>0</v>
      </c>
      <c r="AI11" s="172">
        <f>IF(VLOOKUP(E11,'Pre-Assessment Estimator'!$E$11:$Z$226,'Pre-Assessment Estimator'!$G$2,FALSE)&gt;AB11,AB11,VLOOKUP(E11,'Pre-Assessment Estimator'!$E$11:$Z$226,'Pre-Assessment Estimator'!$G$2,FALSE))</f>
        <v>0</v>
      </c>
      <c r="AJ11" s="172">
        <f>IF(VLOOKUP(E11,'Pre-Assessment Estimator'!$E$11:$Z$226,'Pre-Assessment Estimator'!$N$2,FALSE)&gt;AB11,AB11,VLOOKUP(E11,'Pre-Assessment Estimator'!$E$11:$Z$226,'Pre-Assessment Estimator'!$N$2,FALSE))</f>
        <v>0</v>
      </c>
      <c r="AK11" s="172">
        <f>IF(VLOOKUP(E11,'Pre-Assessment Estimator'!$E$11:$Z$226,'Pre-Assessment Estimator'!$U$2,FALSE)&gt;AB11,AB11,VLOOKUP(E11,'Pre-Assessment Estimator'!$E$11:$Z$226,'Pre-Assessment Estimator'!$U$2,FALSE))</f>
        <v>0</v>
      </c>
      <c r="AM11" s="826"/>
      <c r="AN11" s="827"/>
      <c r="AO11" s="827"/>
      <c r="AP11" s="181">
        <v>1</v>
      </c>
      <c r="AQ11" s="186">
        <v>1</v>
      </c>
      <c r="AS11" s="291"/>
      <c r="AT11" s="181"/>
      <c r="AU11" s="181"/>
      <c r="AV11" s="181">
        <v>1</v>
      </c>
      <c r="AW11" s="186">
        <v>1</v>
      </c>
      <c r="AX11" s="141"/>
      <c r="AY11" s="828"/>
      <c r="AZ11" s="829"/>
      <c r="BA11" s="829"/>
      <c r="BB11" s="183">
        <f>IF($E$6=$H$9,AV11,AP11)</f>
        <v>1</v>
      </c>
      <c r="BC11" s="183">
        <f>IF($E$6=$H$9,AW11,AQ11)</f>
        <v>1</v>
      </c>
      <c r="BD11" s="182">
        <f t="shared" ref="BD11:BD15" si="12">IF(BC11=0,9,IF(AI11&gt;=BC11,5,IF(AI11&gt;=BB11,4,IF(AI11&gt;=BA11,3,IF(AI11&gt;=AZ11,2,IF(AI11&lt;AY11,0,1))))))</f>
        <v>3</v>
      </c>
      <c r="BE11" s="164" t="str">
        <f t="shared" si="6"/>
        <v>Very Good</v>
      </c>
      <c r="BF11" s="185"/>
      <c r="BG11" s="182">
        <f t="shared" ref="BG11:BG15" si="13">IF(BC11=0,9,IF(AJ11&gt;=BC11,5,IF(AJ11&gt;=BB11,4,IF(AJ11&gt;=BA11,3,IF(AJ11&gt;=AZ11,2,IF(AJ11&lt;AY11,0,1))))))</f>
        <v>3</v>
      </c>
      <c r="BH11" s="164" t="str">
        <f t="shared" si="8"/>
        <v>Very Good</v>
      </c>
      <c r="BI11" s="185"/>
      <c r="BJ11" s="182">
        <f t="shared" ref="BJ11:BJ15" si="14">IF(BC11=0,9,IF(AK11&gt;=BC11,5,IF(AK11&gt;=BB11,4,IF(AK11&gt;=BA11,3,IF(AK11&gt;=AZ11,2,IF(AK11&lt;AY11,0,1))))))</f>
        <v>3</v>
      </c>
      <c r="BK11" s="164" t="str">
        <f t="shared" si="9"/>
        <v>Very Good</v>
      </c>
      <c r="BL11" s="830"/>
      <c r="BO11" s="167"/>
      <c r="BP11" s="167"/>
      <c r="BQ11" s="167" t="str">
        <f t="shared" ref="BQ11:BQ74" si="15">IF(BO11&lt;&gt;"",BO11,IF(BP11&lt;&gt;"",BP11,""))</f>
        <v/>
      </c>
      <c r="BR11" s="167">
        <f t="shared" ref="BR11" si="16">IF(BQ11="",9,(IF(AI11&gt;=BQ11,5,0)))</f>
        <v>9</v>
      </c>
      <c r="BS11" s="167">
        <f t="shared" ref="BS11:BS30" si="17">IF(BQ11="",9,(IF(AJ11&gt;=BQ11,5,0)))</f>
        <v>9</v>
      </c>
      <c r="BT11" s="167">
        <f t="shared" ref="BT11:BT30" si="18">IF(BQ11="",9,(IF(AK11&gt;=BQ11,5,0)))</f>
        <v>9</v>
      </c>
      <c r="BW11" s="676"/>
      <c r="BX11" s="676"/>
      <c r="BY11" s="288"/>
      <c r="BZ11" s="288"/>
      <c r="CA11" s="288"/>
      <c r="CB11" s="288"/>
    </row>
    <row r="12" spans="1:90" x14ac:dyDescent="0.25">
      <c r="A12" s="96">
        <v>4</v>
      </c>
      <c r="B12" s="96" t="str">
        <f t="shared" si="10"/>
        <v>Man 01b</v>
      </c>
      <c r="C12" s="96" t="str">
        <f t="shared" ref="C12:C74" si="19">C11</f>
        <v>Man 01</v>
      </c>
      <c r="D12" s="167" t="s">
        <v>696</v>
      </c>
      <c r="E12" s="1248" t="s">
        <v>1037</v>
      </c>
      <c r="F12" s="775">
        <v>1</v>
      </c>
      <c r="G12" s="775">
        <v>1</v>
      </c>
      <c r="H12" s="775">
        <v>1</v>
      </c>
      <c r="I12" s="775">
        <v>1</v>
      </c>
      <c r="J12" s="775">
        <v>1</v>
      </c>
      <c r="K12" s="775">
        <v>1</v>
      </c>
      <c r="L12" s="775">
        <v>1</v>
      </c>
      <c r="M12" s="775">
        <v>1</v>
      </c>
      <c r="N12" s="775">
        <v>1</v>
      </c>
      <c r="O12" s="775">
        <v>1</v>
      </c>
      <c r="P12" s="775">
        <v>1</v>
      </c>
      <c r="Q12" s="775">
        <v>1</v>
      </c>
      <c r="R12" s="775">
        <v>1</v>
      </c>
      <c r="S12" s="667"/>
      <c r="T12" s="165">
        <f t="shared" si="2"/>
        <v>1</v>
      </c>
      <c r="U12" s="166"/>
      <c r="V12" s="167"/>
      <c r="W12" s="167"/>
      <c r="X12" s="168"/>
      <c r="Y12" s="169"/>
      <c r="Z12" s="1158">
        <f>VLOOKUP(B12,'Manuell filtrering og justering'!$A$7:$H$107,'Manuell filtrering og justering'!$H$1,FALSE)</f>
        <v>1</v>
      </c>
      <c r="AA12" s="1167">
        <f t="shared" si="11"/>
        <v>0</v>
      </c>
      <c r="AB12" s="185">
        <f>IF($AC$5='Manuell filtrering og justering'!$J$2,Z12,(T12-AA12))</f>
        <v>1</v>
      </c>
      <c r="AD12" s="171">
        <f t="shared" si="4"/>
        <v>6.1904761904761907E-3</v>
      </c>
      <c r="AE12" s="171">
        <f>IF(AB12=0,0,(AD12/AB12)*AI12)</f>
        <v>0</v>
      </c>
      <c r="AF12" s="171">
        <f t="shared" ref="AF12:AF33" si="20">IF(AB12=0,0,(AD12/AB12)*AJ12)</f>
        <v>0</v>
      </c>
      <c r="AG12" s="171">
        <f t="shared" ref="AG12:AG33" si="21">IF(AB12=0,0,(AD12/AB12)*AK12)</f>
        <v>0</v>
      </c>
      <c r="AI12" s="172">
        <f>IF(VLOOKUP(E12,'Pre-Assessment Estimator'!$E$11:$Z$226,'Pre-Assessment Estimator'!$G$2,FALSE)&gt;AB12,AB12,VLOOKUP(E12,'Pre-Assessment Estimator'!$E$11:$Z$226,'Pre-Assessment Estimator'!$G$2,FALSE))</f>
        <v>0</v>
      </c>
      <c r="AJ12" s="172">
        <f>IF(VLOOKUP(E12,'Pre-Assessment Estimator'!$E$11:$Z$226,'Pre-Assessment Estimator'!$N$2,FALSE)&gt;AB12,AB12,VLOOKUP(E12,'Pre-Assessment Estimator'!$E$11:$Z$226,'Pre-Assessment Estimator'!$N$2,FALSE))</f>
        <v>0</v>
      </c>
      <c r="AK12" s="172">
        <f>IF(VLOOKUP(E12,'Pre-Assessment Estimator'!$E$11:$Z$226,'Pre-Assessment Estimator'!$U$2,FALSE)&gt;AB12,AB12,VLOOKUP(E12,'Pre-Assessment Estimator'!$E$11:$Z$226,'Pre-Assessment Estimator'!$U$2,FALSE))</f>
        <v>0</v>
      </c>
      <c r="AM12" s="826"/>
      <c r="AN12" s="827"/>
      <c r="AO12" s="827"/>
      <c r="AP12" s="181">
        <v>1</v>
      </c>
      <c r="AQ12" s="186">
        <v>1</v>
      </c>
      <c r="AS12" s="291"/>
      <c r="AT12" s="181"/>
      <c r="AU12" s="181"/>
      <c r="AV12" s="181">
        <v>1</v>
      </c>
      <c r="AW12" s="186">
        <v>1</v>
      </c>
      <c r="AX12" s="141"/>
      <c r="AY12" s="828"/>
      <c r="AZ12" s="829"/>
      <c r="BA12" s="829"/>
      <c r="BB12" s="183">
        <f>IF($E$6=$H$9,AV12,AP12)</f>
        <v>1</v>
      </c>
      <c r="BC12" s="183">
        <f>IF($E$6=$H$9,AW12,AQ12)</f>
        <v>1</v>
      </c>
      <c r="BD12" s="182">
        <f t="shared" si="12"/>
        <v>3</v>
      </c>
      <c r="BE12" s="164" t="str">
        <f t="shared" si="6"/>
        <v>Very Good</v>
      </c>
      <c r="BF12" s="185"/>
      <c r="BG12" s="182">
        <f t="shared" si="13"/>
        <v>3</v>
      </c>
      <c r="BH12" s="164" t="str">
        <f t="shared" si="8"/>
        <v>Very Good</v>
      </c>
      <c r="BI12" s="185"/>
      <c r="BJ12" s="182">
        <f t="shared" si="14"/>
        <v>3</v>
      </c>
      <c r="BK12" s="164" t="str">
        <f t="shared" si="9"/>
        <v>Very Good</v>
      </c>
      <c r="BL12" s="830"/>
      <c r="BO12" s="167">
        <v>1</v>
      </c>
      <c r="BP12" s="167"/>
      <c r="BQ12" s="167">
        <f t="shared" si="15"/>
        <v>1</v>
      </c>
      <c r="BR12" s="167">
        <f>IF(BQ12="",9,(IF(AI12&gt;=BQ12,5,0)))</f>
        <v>0</v>
      </c>
      <c r="BS12" s="167">
        <f t="shared" si="17"/>
        <v>0</v>
      </c>
      <c r="BT12" s="167">
        <f t="shared" si="18"/>
        <v>0</v>
      </c>
      <c r="BW12" s="676"/>
      <c r="BX12" s="676"/>
      <c r="BY12" s="288"/>
      <c r="BZ12" s="288"/>
      <c r="CA12" s="288"/>
      <c r="CB12" s="288"/>
    </row>
    <row r="13" spans="1:90" x14ac:dyDescent="0.25">
      <c r="A13" s="96">
        <v>5</v>
      </c>
      <c r="B13" s="96" t="str">
        <f t="shared" si="10"/>
        <v>Man 01c</v>
      </c>
      <c r="C13" s="96" t="str">
        <f t="shared" si="19"/>
        <v>Man 01</v>
      </c>
      <c r="D13" s="167" t="s">
        <v>697</v>
      </c>
      <c r="E13" s="1107" t="s">
        <v>586</v>
      </c>
      <c r="F13" s="775">
        <v>1</v>
      </c>
      <c r="G13" s="775">
        <v>1</v>
      </c>
      <c r="H13" s="775">
        <v>1</v>
      </c>
      <c r="I13" s="775">
        <v>1</v>
      </c>
      <c r="J13" s="775">
        <v>1</v>
      </c>
      <c r="K13" s="775">
        <v>1</v>
      </c>
      <c r="L13" s="775">
        <v>1</v>
      </c>
      <c r="M13" s="775">
        <v>1</v>
      </c>
      <c r="N13" s="775">
        <v>1</v>
      </c>
      <c r="O13" s="775">
        <v>1</v>
      </c>
      <c r="P13" s="775">
        <v>1</v>
      </c>
      <c r="Q13" s="775">
        <v>1</v>
      </c>
      <c r="R13" s="775">
        <v>1</v>
      </c>
      <c r="S13" s="667"/>
      <c r="T13" s="165">
        <f t="shared" si="2"/>
        <v>1</v>
      </c>
      <c r="U13" s="166"/>
      <c r="V13" s="167"/>
      <c r="W13" s="167"/>
      <c r="X13" s="168"/>
      <c r="Y13" s="169"/>
      <c r="Z13" s="1158">
        <f>VLOOKUP(B13,'Manuell filtrering og justering'!$A$7:$H$107,'Manuell filtrering og justering'!$H$1,FALSE)</f>
        <v>1</v>
      </c>
      <c r="AA13" s="1167">
        <f t="shared" si="11"/>
        <v>0</v>
      </c>
      <c r="AB13" s="185">
        <f>IF($AC$5='Manuell filtrering og justering'!$J$2,Z13,(T13-AA13))</f>
        <v>1</v>
      </c>
      <c r="AD13" s="171">
        <f t="shared" si="4"/>
        <v>6.1904761904761907E-3</v>
      </c>
      <c r="AE13" s="171">
        <f>IF(AB13=0,0,(AD13/AB13)*AI13)</f>
        <v>0</v>
      </c>
      <c r="AF13" s="171">
        <f t="shared" si="20"/>
        <v>0</v>
      </c>
      <c r="AG13" s="171">
        <f t="shared" si="21"/>
        <v>0</v>
      </c>
      <c r="AI13" s="172">
        <f>IF(VLOOKUP(E13,'Pre-Assessment Estimator'!$E$11:$Z$226,'Pre-Assessment Estimator'!$G$2,FALSE)&gt;AB13,AB13,VLOOKUP(E13,'Pre-Assessment Estimator'!$E$11:$Z$226,'Pre-Assessment Estimator'!$G$2,FALSE))</f>
        <v>0</v>
      </c>
      <c r="AJ13" s="172">
        <f>IF(VLOOKUP(E13,'Pre-Assessment Estimator'!$E$11:$Z$226,'Pre-Assessment Estimator'!$N$2,FALSE)&gt;AB13,AB13,VLOOKUP(E13,'Pre-Assessment Estimator'!$E$11:$Z$226,'Pre-Assessment Estimator'!$N$2,FALSE))</f>
        <v>0</v>
      </c>
      <c r="AK13" s="172">
        <f>IF(VLOOKUP(E13,'Pre-Assessment Estimator'!$E$11:$Z$226,'Pre-Assessment Estimator'!$U$2,FALSE)&gt;AB13,AB13,VLOOKUP(E13,'Pre-Assessment Estimator'!$E$11:$Z$226,'Pre-Assessment Estimator'!$U$2,FALSE))</f>
        <v>0</v>
      </c>
      <c r="AM13" s="826"/>
      <c r="AN13" s="827"/>
      <c r="AO13" s="827"/>
      <c r="AP13" s="181"/>
      <c r="AQ13" s="186"/>
      <c r="AS13" s="291"/>
      <c r="AT13" s="181"/>
      <c r="AU13" s="181"/>
      <c r="AV13" s="181"/>
      <c r="AW13" s="186"/>
      <c r="AX13" s="141"/>
      <c r="AY13" s="828"/>
      <c r="AZ13" s="829"/>
      <c r="BA13" s="829"/>
      <c r="BB13" s="829"/>
      <c r="BC13" s="176"/>
      <c r="BD13" s="182">
        <f t="shared" si="12"/>
        <v>9</v>
      </c>
      <c r="BE13" s="164" t="str">
        <f t="shared" si="6"/>
        <v>N/A</v>
      </c>
      <c r="BF13" s="185"/>
      <c r="BG13" s="182">
        <f t="shared" si="13"/>
        <v>9</v>
      </c>
      <c r="BH13" s="164" t="str">
        <f t="shared" si="8"/>
        <v>N/A</v>
      </c>
      <c r="BI13" s="185"/>
      <c r="BJ13" s="182">
        <f t="shared" si="14"/>
        <v>9</v>
      </c>
      <c r="BK13" s="164" t="str">
        <f t="shared" si="9"/>
        <v>N/A</v>
      </c>
      <c r="BL13" s="830"/>
      <c r="BO13" s="167"/>
      <c r="BP13" s="167"/>
      <c r="BQ13" s="167" t="str">
        <f t="shared" si="15"/>
        <v/>
      </c>
      <c r="BR13" s="167">
        <f t="shared" ref="BR13:BR30" si="22">IF(BQ13="",9,(IF(AI13&gt;=BQ13,5,0)))</f>
        <v>9</v>
      </c>
      <c r="BS13" s="167">
        <f t="shared" si="17"/>
        <v>9</v>
      </c>
      <c r="BT13" s="167">
        <f t="shared" si="18"/>
        <v>9</v>
      </c>
      <c r="BW13" s="676"/>
      <c r="BX13" s="676"/>
      <c r="BY13" s="288"/>
      <c r="BZ13" s="288"/>
      <c r="CA13" s="288"/>
      <c r="CB13" s="288"/>
    </row>
    <row r="14" spans="1:90" x14ac:dyDescent="0.25">
      <c r="A14" s="96">
        <v>6</v>
      </c>
      <c r="B14" s="96" t="str">
        <f t="shared" si="10"/>
        <v>Man 01d</v>
      </c>
      <c r="C14" s="96" t="str">
        <f t="shared" si="19"/>
        <v>Man 01</v>
      </c>
      <c r="D14" s="167" t="s">
        <v>695</v>
      </c>
      <c r="E14" s="1107" t="s">
        <v>587</v>
      </c>
      <c r="F14" s="775">
        <v>1</v>
      </c>
      <c r="G14" s="775">
        <v>1</v>
      </c>
      <c r="H14" s="775">
        <v>1</v>
      </c>
      <c r="I14" s="775">
        <v>1</v>
      </c>
      <c r="J14" s="775">
        <v>1</v>
      </c>
      <c r="K14" s="775">
        <v>1</v>
      </c>
      <c r="L14" s="775">
        <v>1</v>
      </c>
      <c r="M14" s="775">
        <v>1</v>
      </c>
      <c r="N14" s="775">
        <v>1</v>
      </c>
      <c r="O14" s="775">
        <v>1</v>
      </c>
      <c r="P14" s="775">
        <v>1</v>
      </c>
      <c r="Q14" s="775">
        <v>1</v>
      </c>
      <c r="R14" s="775">
        <v>1</v>
      </c>
      <c r="S14" s="667"/>
      <c r="T14" s="165">
        <f t="shared" si="2"/>
        <v>1</v>
      </c>
      <c r="U14" s="166"/>
      <c r="V14" s="167"/>
      <c r="W14" s="167"/>
      <c r="X14" s="168"/>
      <c r="Y14" s="169"/>
      <c r="Z14" s="1158">
        <f>VLOOKUP(B14,'Manuell filtrering og justering'!$A$7:$H$107,'Manuell filtrering og justering'!$H$1,FALSE)</f>
        <v>1</v>
      </c>
      <c r="AA14" s="1167">
        <f t="shared" si="11"/>
        <v>0</v>
      </c>
      <c r="AB14" s="185">
        <f>IF($AC$5='Manuell filtrering og justering'!$J$2,Z14,(T14-AA14))</f>
        <v>1</v>
      </c>
      <c r="AD14" s="171">
        <f t="shared" si="4"/>
        <v>6.1904761904761907E-3</v>
      </c>
      <c r="AE14" s="171">
        <f>IF(AB14=0,0,(AD14/AB14)*AI14)</f>
        <v>0</v>
      </c>
      <c r="AF14" s="171">
        <f t="shared" si="20"/>
        <v>0</v>
      </c>
      <c r="AG14" s="171">
        <f t="shared" si="21"/>
        <v>0</v>
      </c>
      <c r="AI14" s="172">
        <f>IF(VLOOKUP(E14,'Pre-Assessment Estimator'!$E$11:$Z$226,'Pre-Assessment Estimator'!$G$2,FALSE)&gt;AB14,AB14,VLOOKUP(E14,'Pre-Assessment Estimator'!$E$11:$Z$226,'Pre-Assessment Estimator'!$G$2,FALSE))</f>
        <v>0</v>
      </c>
      <c r="AJ14" s="172">
        <f>IF(VLOOKUP(E14,'Pre-Assessment Estimator'!$E$11:$Z$226,'Pre-Assessment Estimator'!$N$2,FALSE)&gt;AB14,AB14,VLOOKUP(E14,'Pre-Assessment Estimator'!$E$11:$Z$226,'Pre-Assessment Estimator'!$N$2,FALSE))</f>
        <v>0</v>
      </c>
      <c r="AK14" s="172">
        <f>IF(VLOOKUP(E14,'Pre-Assessment Estimator'!$E$11:$Z$226,'Pre-Assessment Estimator'!$U$2,FALSE)&gt;AB14,AB14,VLOOKUP(E14,'Pre-Assessment Estimator'!$E$11:$Z$226,'Pre-Assessment Estimator'!$U$2,FALSE))</f>
        <v>0</v>
      </c>
      <c r="AM14" s="826"/>
      <c r="AN14" s="827"/>
      <c r="AO14" s="827"/>
      <c r="AP14" s="181"/>
      <c r="AQ14" s="186"/>
      <c r="AS14" s="291"/>
      <c r="AT14" s="181"/>
      <c r="AU14" s="181"/>
      <c r="AV14" s="181"/>
      <c r="AW14" s="186"/>
      <c r="AX14" s="141"/>
      <c r="AY14" s="828"/>
      <c r="AZ14" s="829"/>
      <c r="BA14" s="829"/>
      <c r="BB14" s="829"/>
      <c r="BC14" s="176"/>
      <c r="BD14" s="182">
        <f t="shared" si="12"/>
        <v>9</v>
      </c>
      <c r="BE14" s="164" t="str">
        <f t="shared" si="6"/>
        <v>N/A</v>
      </c>
      <c r="BF14" s="185"/>
      <c r="BG14" s="182">
        <f t="shared" si="13"/>
        <v>9</v>
      </c>
      <c r="BH14" s="164" t="str">
        <f t="shared" si="8"/>
        <v>N/A</v>
      </c>
      <c r="BI14" s="185"/>
      <c r="BJ14" s="182">
        <f t="shared" si="14"/>
        <v>9</v>
      </c>
      <c r="BK14" s="164" t="str">
        <f t="shared" si="9"/>
        <v>N/A</v>
      </c>
      <c r="BL14" s="830"/>
      <c r="BO14" s="167"/>
      <c r="BP14" s="167"/>
      <c r="BQ14" s="167" t="str">
        <f t="shared" si="15"/>
        <v/>
      </c>
      <c r="BR14" s="167">
        <f t="shared" si="22"/>
        <v>9</v>
      </c>
      <c r="BS14" s="167">
        <f t="shared" si="17"/>
        <v>9</v>
      </c>
      <c r="BT14" s="167">
        <f t="shared" si="18"/>
        <v>9</v>
      </c>
      <c r="BW14" s="676"/>
      <c r="BX14" s="676"/>
      <c r="BY14" s="288"/>
      <c r="BZ14" s="288"/>
      <c r="CA14" s="288"/>
      <c r="CB14" s="288"/>
    </row>
    <row r="15" spans="1:90" x14ac:dyDescent="0.25">
      <c r="A15" s="96">
        <v>7</v>
      </c>
      <c r="B15" s="96" t="str">
        <f t="shared" si="10"/>
        <v>Man 01e</v>
      </c>
      <c r="C15" s="96" t="str">
        <f t="shared" si="19"/>
        <v>Man 01</v>
      </c>
      <c r="D15" s="167" t="s">
        <v>694</v>
      </c>
      <c r="E15" s="1107" t="s">
        <v>588</v>
      </c>
      <c r="F15" s="775">
        <v>1</v>
      </c>
      <c r="G15" s="775">
        <v>1</v>
      </c>
      <c r="H15" s="775">
        <v>1</v>
      </c>
      <c r="I15" s="775">
        <v>1</v>
      </c>
      <c r="J15" s="775">
        <v>1</v>
      </c>
      <c r="K15" s="775">
        <v>1</v>
      </c>
      <c r="L15" s="775">
        <v>1</v>
      </c>
      <c r="M15" s="775">
        <v>1</v>
      </c>
      <c r="N15" s="775">
        <v>1</v>
      </c>
      <c r="O15" s="775">
        <v>1</v>
      </c>
      <c r="P15" s="775">
        <v>1</v>
      </c>
      <c r="Q15" s="775">
        <v>1</v>
      </c>
      <c r="R15" s="775">
        <v>1</v>
      </c>
      <c r="S15" s="667"/>
      <c r="T15" s="165">
        <f t="shared" si="2"/>
        <v>1</v>
      </c>
      <c r="U15" s="166"/>
      <c r="V15" s="167"/>
      <c r="W15" s="167"/>
      <c r="X15" s="168"/>
      <c r="Y15" s="169"/>
      <c r="Z15" s="1158">
        <f>VLOOKUP(B15,'Manuell filtrering og justering'!$A$7:$H$107,'Manuell filtrering og justering'!$H$1,FALSE)</f>
        <v>2</v>
      </c>
      <c r="AA15" s="1167">
        <f t="shared" si="11"/>
        <v>0</v>
      </c>
      <c r="AB15" s="185">
        <f>IF($AC$5='Manuell filtrering og justering'!$J$2,Z15,(T15-AA15))</f>
        <v>1</v>
      </c>
      <c r="AD15" s="171">
        <f t="shared" si="4"/>
        <v>6.1904761904761907E-3</v>
      </c>
      <c r="AE15" s="171">
        <f>IF(AB15=0,0,(AD15/AB15)*AI15)</f>
        <v>0</v>
      </c>
      <c r="AF15" s="171">
        <f t="shared" si="20"/>
        <v>0</v>
      </c>
      <c r="AG15" s="171">
        <f t="shared" si="21"/>
        <v>0</v>
      </c>
      <c r="AI15" s="172">
        <f>IF(VLOOKUP(E15,'Pre-Assessment Estimator'!$E$11:$Z$226,'Pre-Assessment Estimator'!$G$2,FALSE)&gt;AB15,AB15,VLOOKUP(E15,'Pre-Assessment Estimator'!$E$11:$Z$226,'Pre-Assessment Estimator'!$G$2,FALSE))</f>
        <v>0</v>
      </c>
      <c r="AJ15" s="172">
        <f>IF(VLOOKUP(E15,'Pre-Assessment Estimator'!$E$11:$Z$226,'Pre-Assessment Estimator'!$N$2,FALSE)&gt;AB15,AB15,VLOOKUP(E15,'Pre-Assessment Estimator'!$E$11:$Z$226,'Pre-Assessment Estimator'!$N$2,FALSE))</f>
        <v>0</v>
      </c>
      <c r="AK15" s="172">
        <f>IF(VLOOKUP(E15,'Pre-Assessment Estimator'!$E$11:$Z$226,'Pre-Assessment Estimator'!$U$2,FALSE)&gt;AB15,AB15,VLOOKUP(E15,'Pre-Assessment Estimator'!$E$11:$Z$226,'Pre-Assessment Estimator'!$U$2,FALSE))</f>
        <v>0</v>
      </c>
      <c r="AM15" s="1006"/>
      <c r="AN15" s="1007"/>
      <c r="AO15" s="1007"/>
      <c r="AP15" s="1004"/>
      <c r="AQ15" s="1002"/>
      <c r="AR15" s="137"/>
      <c r="AS15" s="1003"/>
      <c r="AT15" s="1004"/>
      <c r="AU15" s="1004"/>
      <c r="AV15" s="1004"/>
      <c r="AW15" s="1002"/>
      <c r="AX15" s="141"/>
      <c r="AY15" s="828"/>
      <c r="AZ15" s="829"/>
      <c r="BA15" s="829"/>
      <c r="BB15" s="183"/>
      <c r="BC15" s="183"/>
      <c r="BD15" s="182">
        <f t="shared" si="12"/>
        <v>9</v>
      </c>
      <c r="BE15" s="164" t="str">
        <f t="shared" si="6"/>
        <v>N/A</v>
      </c>
      <c r="BF15" s="185"/>
      <c r="BG15" s="182">
        <f t="shared" si="13"/>
        <v>9</v>
      </c>
      <c r="BH15" s="164" t="str">
        <f t="shared" si="8"/>
        <v>N/A</v>
      </c>
      <c r="BI15" s="185"/>
      <c r="BJ15" s="182">
        <f t="shared" si="14"/>
        <v>9</v>
      </c>
      <c r="BK15" s="164" t="str">
        <f t="shared" si="9"/>
        <v>N/A</v>
      </c>
      <c r="BL15" s="830"/>
      <c r="BO15" s="167"/>
      <c r="BP15" s="167"/>
      <c r="BQ15" s="167" t="str">
        <f t="shared" si="15"/>
        <v/>
      </c>
      <c r="BR15" s="167">
        <f t="shared" si="22"/>
        <v>9</v>
      </c>
      <c r="BS15" s="167">
        <f t="shared" si="17"/>
        <v>9</v>
      </c>
      <c r="BT15" s="167">
        <f t="shared" si="18"/>
        <v>9</v>
      </c>
      <c r="BW15" s="676"/>
      <c r="BX15" s="676"/>
      <c r="BY15" s="288"/>
      <c r="BZ15" s="288"/>
      <c r="CA15" s="288"/>
      <c r="CB15" s="288"/>
    </row>
    <row r="16" spans="1:90" x14ac:dyDescent="0.25">
      <c r="A16" s="96">
        <v>8</v>
      </c>
      <c r="B16" s="137" t="str">
        <f>D16</f>
        <v>Man 02</v>
      </c>
      <c r="C16" s="137" t="str">
        <f>B16</f>
        <v>Man 02</v>
      </c>
      <c r="D16" s="832" t="s">
        <v>93</v>
      </c>
      <c r="E16" s="832" t="s">
        <v>307</v>
      </c>
      <c r="F16" s="933">
        <f>SUM(F17:F18)</f>
        <v>3</v>
      </c>
      <c r="G16" s="933">
        <f t="shared" ref="G16:R16" si="23">SUM(G17:G18)</f>
        <v>3</v>
      </c>
      <c r="H16" s="933">
        <f t="shared" si="23"/>
        <v>3</v>
      </c>
      <c r="I16" s="933">
        <f t="shared" si="23"/>
        <v>3</v>
      </c>
      <c r="J16" s="933">
        <f t="shared" si="23"/>
        <v>3</v>
      </c>
      <c r="K16" s="933">
        <f t="shared" si="23"/>
        <v>3</v>
      </c>
      <c r="L16" s="933">
        <f t="shared" si="23"/>
        <v>3</v>
      </c>
      <c r="M16" s="933">
        <f t="shared" si="23"/>
        <v>3</v>
      </c>
      <c r="N16" s="933">
        <f t="shared" si="23"/>
        <v>3</v>
      </c>
      <c r="O16" s="933">
        <f t="shared" si="23"/>
        <v>3</v>
      </c>
      <c r="P16" s="933">
        <f t="shared" si="23"/>
        <v>3</v>
      </c>
      <c r="Q16" s="933">
        <f t="shared" ref="Q16" si="24">SUM(Q17:Q18)</f>
        <v>3</v>
      </c>
      <c r="R16" s="933">
        <f t="shared" si="23"/>
        <v>3</v>
      </c>
      <c r="S16" s="667"/>
      <c r="T16" s="919">
        <f t="shared" si="2"/>
        <v>3</v>
      </c>
      <c r="U16" s="166"/>
      <c r="V16" s="167"/>
      <c r="W16" s="167"/>
      <c r="X16" s="168">
        <f>'Manuell filtrering og justering'!E8</f>
        <v>0</v>
      </c>
      <c r="Y16" s="169"/>
      <c r="Z16" s="1175">
        <f t="shared" ref="Z16" si="25">SUM(Z17:Z18)</f>
        <v>3</v>
      </c>
      <c r="AA16" s="1167">
        <f t="shared" si="11"/>
        <v>0</v>
      </c>
      <c r="AB16" s="1171">
        <f t="shared" ref="AB16" si="26">SUM(AB17:AB18)</f>
        <v>3</v>
      </c>
      <c r="AD16" s="921">
        <f t="shared" si="4"/>
        <v>1.8571428571428572E-2</v>
      </c>
      <c r="AE16" s="921">
        <f>SUM(AE17:AE18)</f>
        <v>0</v>
      </c>
      <c r="AF16" s="921">
        <f>SUM(AF17:AF18)</f>
        <v>0</v>
      </c>
      <c r="AG16" s="921">
        <f>SUM(AG17:AG18)</f>
        <v>0</v>
      </c>
      <c r="AI16" s="922">
        <f t="shared" ref="AI16:AK16" si="27">SUM(AI17:AI18)</f>
        <v>0</v>
      </c>
      <c r="AJ16" s="922">
        <f t="shared" si="27"/>
        <v>0</v>
      </c>
      <c r="AK16" s="922">
        <f t="shared" si="27"/>
        <v>0</v>
      </c>
      <c r="AM16" s="1003"/>
      <c r="AN16" s="1004"/>
      <c r="AO16" s="1004"/>
      <c r="AP16" s="1004"/>
      <c r="AQ16" s="1002"/>
      <c r="AR16" s="137"/>
      <c r="AS16" s="1003"/>
      <c r="AT16" s="1004"/>
      <c r="AU16" s="1004"/>
      <c r="AV16" s="1004"/>
      <c r="AW16" s="1002"/>
      <c r="AX16" s="141"/>
      <c r="AY16" s="182"/>
      <c r="AZ16" s="183"/>
      <c r="BA16" s="183"/>
      <c r="BB16" s="183"/>
      <c r="BC16" s="184"/>
      <c r="BD16" s="182">
        <f>IF(BC16=0,9,IF(AI16&gt;=BC16,5,IF(AI16&gt;=BB16,4,IF(AI16&gt;=BA16,3,IF(AI16&gt;=AZ16,2,IF(AI16&lt;AY16,0,1))))))</f>
        <v>9</v>
      </c>
      <c r="BE16" s="164" t="str">
        <f t="shared" si="6"/>
        <v>N/A</v>
      </c>
      <c r="BF16" s="185"/>
      <c r="BG16" s="182">
        <f t="shared" si="7"/>
        <v>9</v>
      </c>
      <c r="BH16" s="164" t="str">
        <f t="shared" si="8"/>
        <v>N/A</v>
      </c>
      <c r="BI16" s="185"/>
      <c r="BJ16" s="182">
        <f t="shared" ref="BJ16:BJ164" si="28">IF(BC16=0,9,IF(AK16&gt;=BC16,5,IF(AK16&gt;=BB16,4,IF(AK16&gt;=BA16,3,IF(AK16&gt;=AZ16,2,IF(AK16&lt;AY16,0,1))))))</f>
        <v>9</v>
      </c>
      <c r="BK16" s="164" t="str">
        <f t="shared" si="9"/>
        <v>N/A</v>
      </c>
      <c r="BL16" s="185"/>
      <c r="BO16" s="167"/>
      <c r="BP16" s="167"/>
      <c r="BQ16" s="167" t="str">
        <f t="shared" si="15"/>
        <v/>
      </c>
      <c r="BR16" s="167">
        <f t="shared" si="22"/>
        <v>9</v>
      </c>
      <c r="BS16" s="167">
        <f t="shared" si="17"/>
        <v>9</v>
      </c>
      <c r="BT16" s="167">
        <f t="shared" si="18"/>
        <v>9</v>
      </c>
      <c r="BW16" s="677" t="str">
        <f>D16</f>
        <v>Man 02</v>
      </c>
      <c r="BX16" s="677" t="str">
        <f>IFERROR(VLOOKUP($E16,'Pre-Assessment Estimator'!$E$11:$AB$226,'Pre-Assessment Estimator'!AB$2,FALSE),"")</f>
        <v>No</v>
      </c>
      <c r="BY16" s="287">
        <f>IFERROR(VLOOKUP($E16,'Pre-Assessment Estimator'!$E$11:$AI$226,'Pre-Assessment Estimator'!AI$2,FALSE),"")</f>
        <v>0</v>
      </c>
      <c r="BZ16" s="287">
        <f>IFERROR(VLOOKUP($BX16,$E$293:$H$326,F$291,FALSE),"")</f>
        <v>1</v>
      </c>
      <c r="CA16" s="287">
        <f>IFERROR(VLOOKUP($BX16,$E$293:$H$326,G$291,FALSE),"")</f>
        <v>0</v>
      </c>
      <c r="CB16" s="287"/>
      <c r="CC16" s="96" t="str">
        <f>IFERROR(VLOOKUP($BX16,$E$293:$H$326,I$291,FALSE),"")</f>
        <v/>
      </c>
    </row>
    <row r="17" spans="1:81" x14ac:dyDescent="0.25">
      <c r="A17" s="96">
        <v>9</v>
      </c>
      <c r="B17" s="96" t="str">
        <f t="shared" ref="B17:B18" si="29">$D$16&amp;D17</f>
        <v>Man 02a</v>
      </c>
      <c r="C17" s="96" t="str">
        <f t="shared" si="19"/>
        <v>Man 02</v>
      </c>
      <c r="D17" s="167" t="s">
        <v>693</v>
      </c>
      <c r="E17" s="1107" t="s">
        <v>591</v>
      </c>
      <c r="F17" s="775">
        <v>2</v>
      </c>
      <c r="G17" s="775">
        <v>2</v>
      </c>
      <c r="H17" s="775">
        <v>2</v>
      </c>
      <c r="I17" s="775">
        <v>2</v>
      </c>
      <c r="J17" s="775">
        <v>2</v>
      </c>
      <c r="K17" s="775">
        <v>2</v>
      </c>
      <c r="L17" s="775">
        <v>2</v>
      </c>
      <c r="M17" s="775">
        <v>2</v>
      </c>
      <c r="N17" s="775">
        <v>2</v>
      </c>
      <c r="O17" s="775">
        <v>2</v>
      </c>
      <c r="P17" s="775">
        <v>2</v>
      </c>
      <c r="Q17" s="775">
        <v>2</v>
      </c>
      <c r="R17" s="775">
        <v>2</v>
      </c>
      <c r="S17" s="667"/>
      <c r="T17" s="165">
        <f t="shared" si="2"/>
        <v>2</v>
      </c>
      <c r="U17" s="166"/>
      <c r="V17" s="167"/>
      <c r="W17" s="167"/>
      <c r="X17" s="168"/>
      <c r="Y17" s="169"/>
      <c r="Z17" s="1158">
        <f>VLOOKUP(B17,'Manuell filtrering og justering'!$A$7:$H$107,'Manuell filtrering og justering'!$H$1,FALSE)</f>
        <v>2</v>
      </c>
      <c r="AA17" s="1167">
        <f t="shared" si="11"/>
        <v>0</v>
      </c>
      <c r="AB17" s="185">
        <f>IF($AC$5='Manuell filtrering og justering'!$J$2,Z17,(T17-AA17))</f>
        <v>2</v>
      </c>
      <c r="AD17" s="171">
        <f t="shared" si="4"/>
        <v>1.2380952380952381E-2</v>
      </c>
      <c r="AE17" s="171">
        <f>IF(AB17=0,0,(AD17/AB17)*AI17)</f>
        <v>0</v>
      </c>
      <c r="AF17" s="171">
        <f t="shared" si="20"/>
        <v>0</v>
      </c>
      <c r="AG17" s="171">
        <f t="shared" si="21"/>
        <v>0</v>
      </c>
      <c r="AI17" s="172">
        <f>IF(VLOOKUP(E17,'Pre-Assessment Estimator'!$E$11:$Z$226,'Pre-Assessment Estimator'!$G$2,FALSE)&gt;AB17,AB17,VLOOKUP(E17,'Pre-Assessment Estimator'!$E$11:$Z$226,'Pre-Assessment Estimator'!$G$2,FALSE))</f>
        <v>0</v>
      </c>
      <c r="AJ17" s="172">
        <f>IF(VLOOKUP(E17,'Pre-Assessment Estimator'!$E$11:$Z$226,'Pre-Assessment Estimator'!$N$2,FALSE)&gt;AB17,AB17,VLOOKUP(E17,'Pre-Assessment Estimator'!$E$11:$Z$226,'Pre-Assessment Estimator'!$N$2,FALSE))</f>
        <v>0</v>
      </c>
      <c r="AK17" s="172">
        <f>IF(VLOOKUP(E17,'Pre-Assessment Estimator'!$E$11:$Z$226,'Pre-Assessment Estimator'!$U$2,FALSE)&gt;AB17,AB17,VLOOKUP(E17,'Pre-Assessment Estimator'!$E$11:$Z$226,'Pre-Assessment Estimator'!$U$2,FALSE))</f>
        <v>0</v>
      </c>
      <c r="AM17" s="1003"/>
      <c r="AN17" s="1004"/>
      <c r="AO17" s="1004"/>
      <c r="AP17" s="1004"/>
      <c r="AQ17" s="1002"/>
      <c r="AR17" s="137"/>
      <c r="AS17" s="1003"/>
      <c r="AT17" s="1004"/>
      <c r="AU17" s="1004"/>
      <c r="AV17" s="1004"/>
      <c r="AW17" s="1002"/>
      <c r="AX17" s="141"/>
      <c r="AY17" s="182"/>
      <c r="AZ17" s="183"/>
      <c r="BA17" s="183"/>
      <c r="BB17" s="183"/>
      <c r="BC17" s="184"/>
      <c r="BD17" s="182">
        <f t="shared" ref="BD17:BD34" si="30">IF(BC17=0,9,IF(AI17&gt;=BC17,5,IF(AI17&gt;=BB17,4,IF(AI17&gt;=BA17,3,IF(AI17&gt;=AZ17,2,IF(AI17&lt;AY17,0,1))))))</f>
        <v>9</v>
      </c>
      <c r="BE17" s="164" t="str">
        <f t="shared" si="6"/>
        <v>N/A</v>
      </c>
      <c r="BF17" s="185"/>
      <c r="BG17" s="182">
        <f t="shared" si="7"/>
        <v>9</v>
      </c>
      <c r="BH17" s="164" t="str">
        <f t="shared" si="8"/>
        <v>N/A</v>
      </c>
      <c r="BI17" s="185"/>
      <c r="BJ17" s="182">
        <f t="shared" si="28"/>
        <v>9</v>
      </c>
      <c r="BK17" s="164" t="str">
        <f t="shared" si="9"/>
        <v>N/A</v>
      </c>
      <c r="BL17" s="185"/>
      <c r="BO17" s="167"/>
      <c r="BP17" s="167"/>
      <c r="BQ17" s="167" t="str">
        <f t="shared" si="15"/>
        <v/>
      </c>
      <c r="BR17" s="167">
        <f t="shared" si="22"/>
        <v>9</v>
      </c>
      <c r="BS17" s="167">
        <f t="shared" si="17"/>
        <v>9</v>
      </c>
      <c r="BT17" s="167">
        <f t="shared" si="18"/>
        <v>9</v>
      </c>
      <c r="BW17" s="677"/>
      <c r="BX17" s="677"/>
      <c r="BY17" s="287"/>
      <c r="BZ17" s="287"/>
      <c r="CA17" s="287"/>
      <c r="CB17" s="287"/>
    </row>
    <row r="18" spans="1:81" x14ac:dyDescent="0.25">
      <c r="A18" s="96">
        <v>10</v>
      </c>
      <c r="B18" s="96" t="str">
        <f t="shared" si="29"/>
        <v>Man 02b</v>
      </c>
      <c r="C18" s="96" t="str">
        <f t="shared" si="19"/>
        <v>Man 02</v>
      </c>
      <c r="D18" s="167" t="s">
        <v>696</v>
      </c>
      <c r="E18" s="1107" t="s">
        <v>592</v>
      </c>
      <c r="F18" s="775">
        <v>1</v>
      </c>
      <c r="G18" s="775">
        <v>1</v>
      </c>
      <c r="H18" s="775">
        <v>1</v>
      </c>
      <c r="I18" s="775">
        <v>1</v>
      </c>
      <c r="J18" s="775">
        <v>1</v>
      </c>
      <c r="K18" s="775">
        <v>1</v>
      </c>
      <c r="L18" s="775">
        <v>1</v>
      </c>
      <c r="M18" s="775">
        <v>1</v>
      </c>
      <c r="N18" s="775">
        <v>1</v>
      </c>
      <c r="O18" s="775">
        <v>1</v>
      </c>
      <c r="P18" s="775">
        <v>1</v>
      </c>
      <c r="Q18" s="775">
        <v>1</v>
      </c>
      <c r="R18" s="775">
        <v>1</v>
      </c>
      <c r="S18" s="667"/>
      <c r="T18" s="165">
        <f t="shared" si="2"/>
        <v>1</v>
      </c>
      <c r="U18" s="166"/>
      <c r="V18" s="167"/>
      <c r="W18" s="167"/>
      <c r="X18" s="168"/>
      <c r="Y18" s="169"/>
      <c r="Z18" s="1158">
        <f>VLOOKUP(B18,'Manuell filtrering og justering'!$A$7:$H$107,'Manuell filtrering og justering'!$H$1,FALSE)</f>
        <v>1</v>
      </c>
      <c r="AA18" s="1167">
        <f t="shared" si="11"/>
        <v>0</v>
      </c>
      <c r="AB18" s="185">
        <f>IF($AC$5='Manuell filtrering og justering'!$J$2,Z18,(T18-AA18))</f>
        <v>1</v>
      </c>
      <c r="AD18" s="171">
        <f t="shared" si="4"/>
        <v>6.1904761904761907E-3</v>
      </c>
      <c r="AE18" s="171">
        <f>IF(AB18=0,0,(AD18/AB18)*AI18)</f>
        <v>0</v>
      </c>
      <c r="AF18" s="171">
        <f t="shared" si="20"/>
        <v>0</v>
      </c>
      <c r="AG18" s="171">
        <f t="shared" si="21"/>
        <v>0</v>
      </c>
      <c r="AI18" s="172">
        <f>IF(VLOOKUP(E18,'Pre-Assessment Estimator'!$E$11:$Z$226,'Pre-Assessment Estimator'!$G$2,FALSE)&gt;AB18,AB18,VLOOKUP(E18,'Pre-Assessment Estimator'!$E$11:$Z$226,'Pre-Assessment Estimator'!$G$2,FALSE))</f>
        <v>0</v>
      </c>
      <c r="AJ18" s="172">
        <f>IF(VLOOKUP(E18,'Pre-Assessment Estimator'!$E$11:$Z$226,'Pre-Assessment Estimator'!$N$2,FALSE)&gt;AB18,AB18,VLOOKUP(E18,'Pre-Assessment Estimator'!$E$11:$Z$226,'Pre-Assessment Estimator'!$N$2,FALSE))</f>
        <v>0</v>
      </c>
      <c r="AK18" s="172">
        <f>IF(VLOOKUP(E18,'Pre-Assessment Estimator'!$E$11:$Z$226,'Pre-Assessment Estimator'!$U$2,FALSE)&gt;AB18,AB18,VLOOKUP(E18,'Pre-Assessment Estimator'!$E$11:$Z$226,'Pre-Assessment Estimator'!$U$2,FALSE))</f>
        <v>0</v>
      </c>
      <c r="AM18" s="1003"/>
      <c r="AN18" s="1004"/>
      <c r="AO18" s="1004"/>
      <c r="AP18" s="1004"/>
      <c r="AQ18" s="1002"/>
      <c r="AR18" s="137"/>
      <c r="AS18" s="1003"/>
      <c r="AT18" s="1004"/>
      <c r="AU18" s="1004"/>
      <c r="AV18" s="1004"/>
      <c r="AW18" s="1002"/>
      <c r="AX18" s="141"/>
      <c r="AY18" s="182"/>
      <c r="AZ18" s="183"/>
      <c r="BA18" s="183"/>
      <c r="BB18" s="183"/>
      <c r="BC18" s="184"/>
      <c r="BD18" s="182">
        <f t="shared" si="30"/>
        <v>9</v>
      </c>
      <c r="BE18" s="164" t="str">
        <f t="shared" si="6"/>
        <v>N/A</v>
      </c>
      <c r="BF18" s="185"/>
      <c r="BG18" s="182">
        <f t="shared" si="7"/>
        <v>9</v>
      </c>
      <c r="BH18" s="164" t="str">
        <f t="shared" si="8"/>
        <v>N/A</v>
      </c>
      <c r="BI18" s="185"/>
      <c r="BJ18" s="182">
        <f t="shared" si="28"/>
        <v>9</v>
      </c>
      <c r="BK18" s="164" t="str">
        <f t="shared" si="9"/>
        <v>N/A</v>
      </c>
      <c r="BL18" s="185"/>
      <c r="BO18" s="167"/>
      <c r="BP18" s="167"/>
      <c r="BQ18" s="167" t="str">
        <f t="shared" si="15"/>
        <v/>
      </c>
      <c r="BR18" s="167">
        <f t="shared" si="22"/>
        <v>9</v>
      </c>
      <c r="BS18" s="167">
        <f t="shared" si="17"/>
        <v>9</v>
      </c>
      <c r="BT18" s="167">
        <f t="shared" si="18"/>
        <v>9</v>
      </c>
      <c r="BW18" s="677"/>
      <c r="BX18" s="677"/>
      <c r="BY18" s="287"/>
      <c r="BZ18" s="287"/>
      <c r="CA18" s="287"/>
      <c r="CB18" s="287"/>
    </row>
    <row r="19" spans="1:81" x14ac:dyDescent="0.25">
      <c r="A19" s="96">
        <v>11</v>
      </c>
      <c r="B19" s="137" t="str">
        <f>D19</f>
        <v>Man 03</v>
      </c>
      <c r="C19" s="137" t="str">
        <f>B19</f>
        <v>Man 03</v>
      </c>
      <c r="D19" s="832" t="s">
        <v>94</v>
      </c>
      <c r="E19" s="832" t="s">
        <v>308</v>
      </c>
      <c r="F19" s="933">
        <f>SUM(F20:F25)</f>
        <v>7</v>
      </c>
      <c r="G19" s="933">
        <f t="shared" ref="G19:R19" si="31">SUM(G20:G25)</f>
        <v>7</v>
      </c>
      <c r="H19" s="933">
        <f t="shared" si="31"/>
        <v>7</v>
      </c>
      <c r="I19" s="933">
        <f t="shared" si="31"/>
        <v>7</v>
      </c>
      <c r="J19" s="933">
        <f t="shared" si="31"/>
        <v>7</v>
      </c>
      <c r="K19" s="933">
        <f t="shared" si="31"/>
        <v>7</v>
      </c>
      <c r="L19" s="933">
        <f t="shared" si="31"/>
        <v>7</v>
      </c>
      <c r="M19" s="933">
        <f t="shared" si="31"/>
        <v>7</v>
      </c>
      <c r="N19" s="933">
        <f t="shared" si="31"/>
        <v>7</v>
      </c>
      <c r="O19" s="933">
        <f t="shared" si="31"/>
        <v>7</v>
      </c>
      <c r="P19" s="933">
        <f t="shared" si="31"/>
        <v>7</v>
      </c>
      <c r="Q19" s="933">
        <f t="shared" ref="Q19" si="32">SUM(Q20:Q25)</f>
        <v>7</v>
      </c>
      <c r="R19" s="933">
        <f t="shared" si="31"/>
        <v>7</v>
      </c>
      <c r="T19" s="919">
        <f t="shared" si="2"/>
        <v>7</v>
      </c>
      <c r="U19" s="166"/>
      <c r="V19" s="167"/>
      <c r="W19" s="167"/>
      <c r="X19" s="168">
        <f>'Manuell filtrering og justering'!E9</f>
        <v>0</v>
      </c>
      <c r="Y19" s="169"/>
      <c r="Z19" s="1175">
        <f>SUM(Z20:Z25)</f>
        <v>7</v>
      </c>
      <c r="AA19" s="1167">
        <f t="shared" si="11"/>
        <v>0</v>
      </c>
      <c r="AB19" s="1171">
        <f>SUM(AB20:AB25)</f>
        <v>7</v>
      </c>
      <c r="AD19" s="921">
        <f t="shared" si="4"/>
        <v>4.3333333333333335E-2</v>
      </c>
      <c r="AE19" s="921">
        <f>SUM(AE20:AE25)</f>
        <v>0</v>
      </c>
      <c r="AF19" s="921">
        <f>SUM(AF20:AF25)</f>
        <v>0</v>
      </c>
      <c r="AG19" s="921">
        <f>SUM(AG20:AG25)</f>
        <v>0</v>
      </c>
      <c r="AI19" s="922">
        <f t="shared" ref="AI19:AK19" si="33">SUM(AI20:AI25)</f>
        <v>0</v>
      </c>
      <c r="AJ19" s="922">
        <f t="shared" si="33"/>
        <v>0</v>
      </c>
      <c r="AK19" s="922">
        <f t="shared" si="33"/>
        <v>0</v>
      </c>
      <c r="AM19" s="1003"/>
      <c r="AN19" s="1004"/>
      <c r="AO19" s="1004"/>
      <c r="AP19" s="1004"/>
      <c r="AQ19" s="1002"/>
      <c r="AR19" s="137"/>
      <c r="AS19" s="1003"/>
      <c r="AT19" s="1004"/>
      <c r="AU19" s="1004"/>
      <c r="AV19" s="1004"/>
      <c r="AW19" s="1002"/>
      <c r="AX19" s="141"/>
      <c r="AY19" s="182"/>
      <c r="AZ19" s="183"/>
      <c r="BA19" s="183"/>
      <c r="BB19" s="183"/>
      <c r="BC19" s="184"/>
      <c r="BD19" s="182">
        <f t="shared" si="30"/>
        <v>9</v>
      </c>
      <c r="BE19" s="164" t="str">
        <f t="shared" si="6"/>
        <v>N/A</v>
      </c>
      <c r="BF19" s="185"/>
      <c r="BG19" s="182">
        <f t="shared" si="7"/>
        <v>9</v>
      </c>
      <c r="BH19" s="164" t="str">
        <f t="shared" si="8"/>
        <v>N/A</v>
      </c>
      <c r="BI19" s="185"/>
      <c r="BJ19" s="182">
        <f t="shared" si="28"/>
        <v>9</v>
      </c>
      <c r="BK19" s="164" t="str">
        <f t="shared" si="9"/>
        <v>N/A</v>
      </c>
      <c r="BL19" s="185"/>
      <c r="BO19" s="167"/>
      <c r="BP19" s="167"/>
      <c r="BQ19" s="167" t="str">
        <f t="shared" si="15"/>
        <v/>
      </c>
      <c r="BR19" s="167">
        <f t="shared" si="22"/>
        <v>9</v>
      </c>
      <c r="BS19" s="167">
        <f t="shared" si="17"/>
        <v>9</v>
      </c>
      <c r="BT19" s="167">
        <f t="shared" si="18"/>
        <v>9</v>
      </c>
      <c r="BW19" s="677" t="str">
        <f>D19</f>
        <v>Man 03</v>
      </c>
      <c r="BX19" s="677" t="str">
        <f>IFERROR(VLOOKUP($E19,'Pre-Assessment Estimator'!$E$11:$AB$226,'Pre-Assessment Estimator'!AB$2,FALSE),"")</f>
        <v>N/A</v>
      </c>
      <c r="BY19" s="287">
        <f>IFERROR(VLOOKUP($E19,'Pre-Assessment Estimator'!$E$11:$AI$226,'Pre-Assessment Estimator'!AI$2,FALSE),"")</f>
        <v>0</v>
      </c>
      <c r="BZ19" s="287">
        <f>IFERROR(VLOOKUP($BX19,$E$293:$H$326,F$291,FALSE),"")</f>
        <v>1</v>
      </c>
      <c r="CA19" s="287">
        <f>IFERROR(VLOOKUP($BX19,$E$293:$H$326,G$291,FALSE),"")</f>
        <v>0</v>
      </c>
      <c r="CB19" s="287"/>
      <c r="CC19" s="96" t="str">
        <f>IFERROR(VLOOKUP($BX19,$E$293:$H$326,I$291,FALSE),"")</f>
        <v/>
      </c>
    </row>
    <row r="20" spans="1:81" x14ac:dyDescent="0.25">
      <c r="A20" s="96">
        <v>12</v>
      </c>
      <c r="B20" s="96" t="str">
        <f t="shared" ref="B20:B25" si="34">$D$19&amp;D20</f>
        <v>Man 03a</v>
      </c>
      <c r="C20" s="96" t="str">
        <f t="shared" si="19"/>
        <v>Man 03</v>
      </c>
      <c r="D20" s="167" t="s">
        <v>693</v>
      </c>
      <c r="E20" s="1107" t="s">
        <v>593</v>
      </c>
      <c r="F20" s="775">
        <v>1</v>
      </c>
      <c r="G20" s="775">
        <v>1</v>
      </c>
      <c r="H20" s="775">
        <v>1</v>
      </c>
      <c r="I20" s="775">
        <v>1</v>
      </c>
      <c r="J20" s="775">
        <v>1</v>
      </c>
      <c r="K20" s="775">
        <v>1</v>
      </c>
      <c r="L20" s="775">
        <v>1</v>
      </c>
      <c r="M20" s="775">
        <v>1</v>
      </c>
      <c r="N20" s="775">
        <v>1</v>
      </c>
      <c r="O20" s="775">
        <v>1</v>
      </c>
      <c r="P20" s="775">
        <v>1</v>
      </c>
      <c r="Q20" s="775">
        <v>1</v>
      </c>
      <c r="R20" s="775">
        <v>1</v>
      </c>
      <c r="T20" s="165">
        <f t="shared" si="2"/>
        <v>1</v>
      </c>
      <c r="U20" s="166"/>
      <c r="V20" s="167"/>
      <c r="W20" s="167"/>
      <c r="X20" s="168"/>
      <c r="Y20" s="169"/>
      <c r="Z20" s="1158">
        <f>VLOOKUP(B20,'Manuell filtrering og justering'!$A$7:$H$107,'Manuell filtrering og justering'!$H$1,FALSE)</f>
        <v>1</v>
      </c>
      <c r="AA20" s="1167">
        <f t="shared" si="11"/>
        <v>0</v>
      </c>
      <c r="AB20" s="185">
        <f>IF($AC$5='Manuell filtrering og justering'!$J$2,Z20,(T20-AA20))</f>
        <v>1</v>
      </c>
      <c r="AD20" s="171">
        <f t="shared" si="4"/>
        <v>6.1904761904761907E-3</v>
      </c>
      <c r="AE20" s="171">
        <f>IF(AB20=0,0,(AD20/AB20)*AI20)</f>
        <v>0</v>
      </c>
      <c r="AF20" s="171">
        <f t="shared" si="20"/>
        <v>0</v>
      </c>
      <c r="AG20" s="171">
        <f t="shared" si="21"/>
        <v>0</v>
      </c>
      <c r="AI20" s="172">
        <f>IF(VLOOKUP(E20,'Pre-Assessment Estimator'!$E$11:$Z$226,'Pre-Assessment Estimator'!$G$2,FALSE)&gt;AB20,AB20,VLOOKUP(E20,'Pre-Assessment Estimator'!$E$11:$Z$226,'Pre-Assessment Estimator'!$G$2,FALSE))</f>
        <v>0</v>
      </c>
      <c r="AJ20" s="172">
        <f>IF(VLOOKUP(E20,'Pre-Assessment Estimator'!$E$11:$Z$226,'Pre-Assessment Estimator'!$N$2,FALSE)&gt;AB20,AB20,VLOOKUP(E20,'Pre-Assessment Estimator'!$E$11:$Z$226,'Pre-Assessment Estimator'!$N$2,FALSE))</f>
        <v>0</v>
      </c>
      <c r="AK20" s="172">
        <f>IF(VLOOKUP(E20,'Pre-Assessment Estimator'!$E$11:$Z$226,'Pre-Assessment Estimator'!$U$2,FALSE)&gt;AB20,AB20,VLOOKUP(E20,'Pre-Assessment Estimator'!$E$11:$Z$226,'Pre-Assessment Estimator'!$U$2,FALSE))</f>
        <v>0</v>
      </c>
      <c r="AM20" s="1003"/>
      <c r="AN20" s="1004"/>
      <c r="AO20" s="1004"/>
      <c r="AP20" s="1004"/>
      <c r="AQ20" s="1002"/>
      <c r="AR20" s="137"/>
      <c r="AS20" s="1003"/>
      <c r="AT20" s="1004"/>
      <c r="AU20" s="1004"/>
      <c r="AV20" s="1004"/>
      <c r="AW20" s="1002"/>
      <c r="AX20" s="141"/>
      <c r="AY20" s="182"/>
      <c r="AZ20" s="183"/>
      <c r="BA20" s="183"/>
      <c r="BB20" s="183"/>
      <c r="BC20" s="184"/>
      <c r="BD20" s="182">
        <f t="shared" si="30"/>
        <v>9</v>
      </c>
      <c r="BE20" s="164" t="str">
        <f t="shared" si="6"/>
        <v>N/A</v>
      </c>
      <c r="BF20" s="185"/>
      <c r="BG20" s="182">
        <f t="shared" si="7"/>
        <v>9</v>
      </c>
      <c r="BH20" s="164" t="str">
        <f t="shared" si="8"/>
        <v>N/A</v>
      </c>
      <c r="BI20" s="185"/>
      <c r="BJ20" s="182">
        <f t="shared" si="28"/>
        <v>9</v>
      </c>
      <c r="BK20" s="164" t="str">
        <f t="shared" si="9"/>
        <v>N/A</v>
      </c>
      <c r="BL20" s="185"/>
      <c r="BO20" s="167"/>
      <c r="BP20" s="167"/>
      <c r="BQ20" s="167" t="str">
        <f t="shared" si="15"/>
        <v/>
      </c>
      <c r="BR20" s="167">
        <f t="shared" si="22"/>
        <v>9</v>
      </c>
      <c r="BS20" s="167">
        <f t="shared" si="17"/>
        <v>9</v>
      </c>
      <c r="BT20" s="167">
        <f t="shared" si="18"/>
        <v>9</v>
      </c>
      <c r="BW20" s="677"/>
      <c r="BX20" s="677"/>
      <c r="BY20" s="287"/>
      <c r="BZ20" s="287"/>
      <c r="CA20" s="287"/>
      <c r="CB20" s="287"/>
    </row>
    <row r="21" spans="1:81" x14ac:dyDescent="0.25">
      <c r="A21" s="96">
        <v>13</v>
      </c>
      <c r="B21" s="96" t="str">
        <f t="shared" si="34"/>
        <v>Man 03b</v>
      </c>
      <c r="C21" s="96" t="str">
        <f t="shared" si="19"/>
        <v>Man 03</v>
      </c>
      <c r="D21" s="167" t="s">
        <v>696</v>
      </c>
      <c r="E21" s="1107" t="s">
        <v>955</v>
      </c>
      <c r="F21" s="775">
        <v>1</v>
      </c>
      <c r="G21" s="775">
        <v>1</v>
      </c>
      <c r="H21" s="775">
        <v>1</v>
      </c>
      <c r="I21" s="775">
        <v>1</v>
      </c>
      <c r="J21" s="775">
        <v>1</v>
      </c>
      <c r="K21" s="775">
        <v>1</v>
      </c>
      <c r="L21" s="775">
        <v>1</v>
      </c>
      <c r="M21" s="775">
        <v>1</v>
      </c>
      <c r="N21" s="775">
        <v>1</v>
      </c>
      <c r="O21" s="775">
        <v>1</v>
      </c>
      <c r="P21" s="775">
        <v>1</v>
      </c>
      <c r="Q21" s="775">
        <v>1</v>
      </c>
      <c r="R21" s="775">
        <v>1</v>
      </c>
      <c r="T21" s="165">
        <f t="shared" si="2"/>
        <v>1</v>
      </c>
      <c r="U21" s="166"/>
      <c r="V21" s="167"/>
      <c r="W21" s="167"/>
      <c r="X21" s="168"/>
      <c r="Y21" s="169"/>
      <c r="Z21" s="1158">
        <f>VLOOKUP(B21,'Manuell filtrering og justering'!$A$7:$H$107,'Manuell filtrering og justering'!$H$1,FALSE)</f>
        <v>1</v>
      </c>
      <c r="AA21" s="1167">
        <f t="shared" si="11"/>
        <v>0</v>
      </c>
      <c r="AB21" s="185">
        <f>IF($AC$5='Manuell filtrering og justering'!$J$2,Z21,(T21-AA21))</f>
        <v>1</v>
      </c>
      <c r="AD21" s="171">
        <f t="shared" si="4"/>
        <v>6.1904761904761907E-3</v>
      </c>
      <c r="AE21" s="171">
        <f>IF(AB21=0,0,(AD21/AB21)*AI21)</f>
        <v>0</v>
      </c>
      <c r="AF21" s="171">
        <f t="shared" si="20"/>
        <v>0</v>
      </c>
      <c r="AG21" s="171">
        <f t="shared" si="21"/>
        <v>0</v>
      </c>
      <c r="AI21" s="172">
        <f>IF(VLOOKUP(E21,'Pre-Assessment Estimator'!$E$11:$Z$226,'Pre-Assessment Estimator'!$G$2,FALSE)&gt;AB21,AB21,VLOOKUP(E21,'Pre-Assessment Estimator'!$E$11:$Z$226,'Pre-Assessment Estimator'!$G$2,FALSE))</f>
        <v>0</v>
      </c>
      <c r="AJ21" s="172">
        <f>IF(VLOOKUP(E21,'Pre-Assessment Estimator'!$E$11:$Z$226,'Pre-Assessment Estimator'!$N$2,FALSE)&gt;AB21,AB21,VLOOKUP(E21,'Pre-Assessment Estimator'!$E$11:$Z$226,'Pre-Assessment Estimator'!$N$2,FALSE))</f>
        <v>0</v>
      </c>
      <c r="AK21" s="172">
        <f>IF(VLOOKUP(E21,'Pre-Assessment Estimator'!$E$11:$Z$226,'Pre-Assessment Estimator'!$U$2,FALSE)&gt;AB21,AB21,VLOOKUP(E21,'Pre-Assessment Estimator'!$E$11:$Z$226,'Pre-Assessment Estimator'!$U$2,FALSE))</f>
        <v>0</v>
      </c>
      <c r="AM21" s="1003"/>
      <c r="AN21" s="1004"/>
      <c r="AO21" s="1004"/>
      <c r="AP21" s="1004"/>
      <c r="AQ21" s="1002"/>
      <c r="AR21" s="137"/>
      <c r="AS21" s="1003"/>
      <c r="AT21" s="1004"/>
      <c r="AU21" s="1004"/>
      <c r="AV21" s="1004"/>
      <c r="AW21" s="1002"/>
      <c r="AX21" s="141"/>
      <c r="AY21" s="182"/>
      <c r="AZ21" s="183"/>
      <c r="BA21" s="183"/>
      <c r="BB21" s="183"/>
      <c r="BC21" s="184"/>
      <c r="BD21" s="182">
        <f t="shared" si="30"/>
        <v>9</v>
      </c>
      <c r="BE21" s="164" t="str">
        <f t="shared" si="6"/>
        <v>N/A</v>
      </c>
      <c r="BF21" s="185"/>
      <c r="BG21" s="182">
        <f t="shared" si="7"/>
        <v>9</v>
      </c>
      <c r="BH21" s="164" t="str">
        <f t="shared" si="8"/>
        <v>N/A</v>
      </c>
      <c r="BI21" s="185"/>
      <c r="BJ21" s="182">
        <f t="shared" si="28"/>
        <v>9</v>
      </c>
      <c r="BK21" s="164" t="str">
        <f t="shared" si="9"/>
        <v>N/A</v>
      </c>
      <c r="BL21" s="185"/>
      <c r="BO21" s="167"/>
      <c r="BP21" s="167"/>
      <c r="BQ21" s="167" t="str">
        <f t="shared" si="15"/>
        <v/>
      </c>
      <c r="BR21" s="167">
        <f t="shared" si="22"/>
        <v>9</v>
      </c>
      <c r="BS21" s="167">
        <f t="shared" si="17"/>
        <v>9</v>
      </c>
      <c r="BT21" s="167">
        <f t="shared" si="18"/>
        <v>9</v>
      </c>
      <c r="BW21" s="677"/>
      <c r="BX21" s="677"/>
      <c r="BY21" s="287"/>
      <c r="BZ21" s="287"/>
      <c r="CA21" s="287"/>
      <c r="CB21" s="287"/>
    </row>
    <row r="22" spans="1:81" x14ac:dyDescent="0.25">
      <c r="A22" s="96">
        <v>14</v>
      </c>
      <c r="B22" s="96" t="str">
        <f t="shared" si="34"/>
        <v>Man 03c</v>
      </c>
      <c r="C22" s="96" t="str">
        <f t="shared" si="19"/>
        <v>Man 03</v>
      </c>
      <c r="D22" s="167" t="s">
        <v>697</v>
      </c>
      <c r="E22" s="1248" t="s">
        <v>1109</v>
      </c>
      <c r="F22" s="775">
        <v>1</v>
      </c>
      <c r="G22" s="775">
        <v>1</v>
      </c>
      <c r="H22" s="775">
        <v>1</v>
      </c>
      <c r="I22" s="775">
        <v>1</v>
      </c>
      <c r="J22" s="775">
        <v>1</v>
      </c>
      <c r="K22" s="775">
        <v>1</v>
      </c>
      <c r="L22" s="775">
        <v>1</v>
      </c>
      <c r="M22" s="775">
        <v>1</v>
      </c>
      <c r="N22" s="775">
        <v>1</v>
      </c>
      <c r="O22" s="775">
        <v>1</v>
      </c>
      <c r="P22" s="775">
        <v>1</v>
      </c>
      <c r="Q22" s="775">
        <v>1</v>
      </c>
      <c r="R22" s="775">
        <v>1</v>
      </c>
      <c r="T22" s="165">
        <f t="shared" si="2"/>
        <v>1</v>
      </c>
      <c r="U22" s="166"/>
      <c r="V22" s="167"/>
      <c r="W22" s="167"/>
      <c r="X22" s="168"/>
      <c r="Y22" s="169"/>
      <c r="Z22" s="1158">
        <f>VLOOKUP(B22,'Manuell filtrering og justering'!$A$7:$H$107,'Manuell filtrering og justering'!$H$1,FALSE)</f>
        <v>1</v>
      </c>
      <c r="AA22" s="1167">
        <f t="shared" si="11"/>
        <v>0</v>
      </c>
      <c r="AB22" s="185">
        <f>IF($AC$5='Manuell filtrering og justering'!$J$2,Z22,(T22-AA22))</f>
        <v>1</v>
      </c>
      <c r="AD22" s="171">
        <f t="shared" si="4"/>
        <v>6.1904761904761907E-3</v>
      </c>
      <c r="AE22" s="171">
        <f>IF(AB22=0,0,(AD22/AB22)*AI22)</f>
        <v>0</v>
      </c>
      <c r="AF22" s="171">
        <f t="shared" si="20"/>
        <v>0</v>
      </c>
      <c r="AG22" s="171">
        <f t="shared" si="21"/>
        <v>0</v>
      </c>
      <c r="AI22" s="172">
        <f>IF(VLOOKUP(E22,'Pre-Assessment Estimator'!$E$11:$Z$226,'Pre-Assessment Estimator'!$G$2,FALSE)&gt;AB22,AB22,VLOOKUP(E22,'Pre-Assessment Estimator'!$E$11:$Z$226,'Pre-Assessment Estimator'!$G$2,FALSE))</f>
        <v>0</v>
      </c>
      <c r="AJ22" s="172">
        <f>IF(VLOOKUP(E22,'Pre-Assessment Estimator'!$E$11:$Z$226,'Pre-Assessment Estimator'!$N$2,FALSE)&gt;AB22,AB22,VLOOKUP(E22,'Pre-Assessment Estimator'!$E$11:$Z$226,'Pre-Assessment Estimator'!$N$2,FALSE))</f>
        <v>0</v>
      </c>
      <c r="AK22" s="172">
        <f>IF(VLOOKUP(E22,'Pre-Assessment Estimator'!$E$11:$Z$226,'Pre-Assessment Estimator'!$U$2,FALSE)&gt;AB22,AB22,VLOOKUP(E22,'Pre-Assessment Estimator'!$E$11:$Z$226,'Pre-Assessment Estimator'!$U$2,FALSE))</f>
        <v>0</v>
      </c>
      <c r="AM22" s="1003">
        <v>1</v>
      </c>
      <c r="AN22" s="1004">
        <v>1</v>
      </c>
      <c r="AO22" s="1004">
        <v>1</v>
      </c>
      <c r="AP22" s="1004">
        <v>1</v>
      </c>
      <c r="AQ22" s="1002">
        <v>1</v>
      </c>
      <c r="AR22" s="137"/>
      <c r="AS22" s="1003">
        <v>1</v>
      </c>
      <c r="AT22" s="1004">
        <v>1</v>
      </c>
      <c r="AU22" s="1004">
        <v>1</v>
      </c>
      <c r="AV22" s="1004">
        <v>1</v>
      </c>
      <c r="AW22" s="1002">
        <v>1</v>
      </c>
      <c r="AX22" s="141"/>
      <c r="AY22" s="183">
        <f>IF($E$6=$H$9,AS22,AM22)</f>
        <v>1</v>
      </c>
      <c r="AZ22" s="183">
        <f>IF($E$6=$H$9,AT22,AN22)</f>
        <v>1</v>
      </c>
      <c r="BA22" s="183">
        <f>IF($E$6=$H$9,AU22,AO22)</f>
        <v>1</v>
      </c>
      <c r="BB22" s="183">
        <f>IF($E$6=$H$9,AV22,AP22)</f>
        <v>1</v>
      </c>
      <c r="BC22" s="183">
        <f>IF($E$6=$H$9,AW22,AQ22)</f>
        <v>1</v>
      </c>
      <c r="BD22" s="182">
        <f t="shared" si="30"/>
        <v>0</v>
      </c>
      <c r="BE22" s="164" t="str">
        <f t="shared" si="6"/>
        <v>Unclassified</v>
      </c>
      <c r="BF22" s="185"/>
      <c r="BG22" s="182">
        <f t="shared" ref="BG22:BG34" si="35">IF(BC22=0,9,IF(AJ22&gt;=BC22,5,IF(AJ22&gt;=BB22,4,IF(AJ22&gt;=BA22,3,IF(AJ22&gt;=AZ22,2,IF(AJ22&lt;AY22,0,1))))))</f>
        <v>0</v>
      </c>
      <c r="BH22" s="164" t="str">
        <f t="shared" si="8"/>
        <v>Unclassified</v>
      </c>
      <c r="BI22" s="185"/>
      <c r="BJ22" s="182">
        <f t="shared" ref="BJ22:BJ34" si="36">IF(BC22=0,9,IF(AK22&gt;=BC22,5,IF(AK22&gt;=BB22,4,IF(AK22&gt;=BA22,3,IF(AK22&gt;=AZ22,2,IF(AK22&lt;AY22,0,1))))))</f>
        <v>0</v>
      </c>
      <c r="BK22" s="164" t="str">
        <f t="shared" si="9"/>
        <v>Unclassified</v>
      </c>
      <c r="BL22" s="185"/>
      <c r="BO22" s="167"/>
      <c r="BP22" s="167">
        <v>1</v>
      </c>
      <c r="BQ22" s="167">
        <f t="shared" si="15"/>
        <v>1</v>
      </c>
      <c r="BR22" s="167">
        <f t="shared" si="22"/>
        <v>0</v>
      </c>
      <c r="BS22" s="167">
        <f t="shared" si="17"/>
        <v>0</v>
      </c>
      <c r="BT22" s="167">
        <f t="shared" si="18"/>
        <v>0</v>
      </c>
      <c r="BW22" s="677"/>
      <c r="BX22" s="677"/>
      <c r="BY22" s="287"/>
      <c r="BZ22" s="287"/>
      <c r="CA22" s="287"/>
      <c r="CB22" s="287"/>
    </row>
    <row r="23" spans="1:81" x14ac:dyDescent="0.25">
      <c r="A23" s="96">
        <v>15</v>
      </c>
      <c r="B23" s="96" t="str">
        <f t="shared" si="34"/>
        <v>Man 03d</v>
      </c>
      <c r="C23" s="96" t="str">
        <f t="shared" si="19"/>
        <v>Man 03</v>
      </c>
      <c r="D23" s="167" t="s">
        <v>695</v>
      </c>
      <c r="E23" s="1248" t="s">
        <v>1039</v>
      </c>
      <c r="F23" s="775">
        <v>1</v>
      </c>
      <c r="G23" s="775">
        <v>1</v>
      </c>
      <c r="H23" s="775">
        <v>1</v>
      </c>
      <c r="I23" s="775">
        <v>1</v>
      </c>
      <c r="J23" s="775">
        <v>1</v>
      </c>
      <c r="K23" s="775">
        <v>1</v>
      </c>
      <c r="L23" s="775">
        <v>1</v>
      </c>
      <c r="M23" s="775">
        <v>1</v>
      </c>
      <c r="N23" s="775">
        <v>1</v>
      </c>
      <c r="O23" s="775">
        <v>1</v>
      </c>
      <c r="P23" s="775">
        <v>1</v>
      </c>
      <c r="Q23" s="775">
        <v>1</v>
      </c>
      <c r="R23" s="775">
        <v>1</v>
      </c>
      <c r="T23" s="165">
        <f t="shared" si="2"/>
        <v>1</v>
      </c>
      <c r="U23" s="166"/>
      <c r="V23" s="167"/>
      <c r="W23" s="167"/>
      <c r="X23" s="168"/>
      <c r="Y23" s="169"/>
      <c r="Z23" s="1158">
        <f>VLOOKUP(B23,'Manuell filtrering og justering'!$A$7:$H$107,'Manuell filtrering og justering'!$H$1,FALSE)</f>
        <v>1</v>
      </c>
      <c r="AA23" s="1167">
        <f t="shared" si="11"/>
        <v>0</v>
      </c>
      <c r="AB23" s="185">
        <f>IF($AC$5='Manuell filtrering og justering'!$J$2,Z23,(T23-AA23))</f>
        <v>1</v>
      </c>
      <c r="AD23" s="171">
        <f t="shared" ref="AD23:AD24" si="37">(Man_Weight/Man_Credits)*AB23</f>
        <v>6.1904761904761907E-3</v>
      </c>
      <c r="AE23" s="171">
        <f t="shared" ref="AE23:AE24" si="38">IF(AB23=0,0,(AD23/AB23)*AI23)</f>
        <v>0</v>
      </c>
      <c r="AF23" s="171">
        <f t="shared" ref="AF23:AF24" si="39">IF(AB23=0,0,(AD23/AB23)*AJ23)</f>
        <v>0</v>
      </c>
      <c r="AG23" s="171">
        <f t="shared" ref="AG23:AG24" si="40">IF(AB23=0,0,(AD23/AB23)*AK23)</f>
        <v>0</v>
      </c>
      <c r="AI23" s="172">
        <f>IF(VLOOKUP(E23,'Pre-Assessment Estimator'!$E$11:$Z$226,'Pre-Assessment Estimator'!$G$2,FALSE)&gt;AB23,AB23,VLOOKUP(E23,'Pre-Assessment Estimator'!$E$11:$Z$226,'Pre-Assessment Estimator'!$G$2,FALSE))</f>
        <v>0</v>
      </c>
      <c r="AJ23" s="172">
        <f>IF(VLOOKUP(E23,'Pre-Assessment Estimator'!$E$11:$Z$226,'Pre-Assessment Estimator'!$N$2,FALSE)&gt;AB23,AB23,VLOOKUP(E23,'Pre-Assessment Estimator'!$E$11:$Z$226,'Pre-Assessment Estimator'!$N$2,FALSE))</f>
        <v>0</v>
      </c>
      <c r="AK23" s="172">
        <f>IF(VLOOKUP(E23,'Pre-Assessment Estimator'!$E$11:$Z$226,'Pre-Assessment Estimator'!$U$2,FALSE)&gt;AB23,AB23,VLOOKUP(E23,'Pre-Assessment Estimator'!$E$11:$Z$226,'Pre-Assessment Estimator'!$U$2,FALSE))</f>
        <v>0</v>
      </c>
      <c r="AM23" s="1003"/>
      <c r="AN23" s="1004"/>
      <c r="AO23" s="1004">
        <v>1</v>
      </c>
      <c r="AP23" s="1004">
        <v>1</v>
      </c>
      <c r="AQ23" s="1002">
        <v>1</v>
      </c>
      <c r="AR23" s="137"/>
      <c r="AS23" s="1003"/>
      <c r="AT23" s="1004"/>
      <c r="AU23" s="1004">
        <v>1</v>
      </c>
      <c r="AV23" s="1004">
        <v>1</v>
      </c>
      <c r="AW23" s="1002">
        <v>1</v>
      </c>
      <c r="AX23" s="141"/>
      <c r="AY23" s="1019"/>
      <c r="AZ23" s="183"/>
      <c r="BA23" s="183">
        <f>IF($E$6=$H$9,AU23,AO23)</f>
        <v>1</v>
      </c>
      <c r="BB23" s="183">
        <f>IF($E$6=$H$9,AV23,AP23)</f>
        <v>1</v>
      </c>
      <c r="BC23" s="183">
        <f>IF($E$6=$H$9,AW23,AQ23)</f>
        <v>1</v>
      </c>
      <c r="BD23" s="182">
        <f t="shared" ref="BD23" si="41">IF(BC23=0,9,IF(AI23&gt;=BC23,5,IF(AI23&gt;=BB23,4,IF(AI23&gt;=BA23,3,IF(AI23&gt;=AZ23,2,IF(AI23&lt;AY23,0,1))))))</f>
        <v>2</v>
      </c>
      <c r="BE23" s="164" t="str">
        <f t="shared" si="6"/>
        <v>Good</v>
      </c>
      <c r="BF23" s="185"/>
      <c r="BG23" s="182">
        <f t="shared" ref="BG23" si="42">IF(BC23=0,9,IF(AJ23&gt;=BC23,5,IF(AJ23&gt;=BB23,4,IF(AJ23&gt;=BA23,3,IF(AJ23&gt;=AZ23,2,IF(AJ23&lt;AY23,0,1))))))</f>
        <v>2</v>
      </c>
      <c r="BH23" s="164" t="str">
        <f t="shared" si="8"/>
        <v>Good</v>
      </c>
      <c r="BI23" s="185"/>
      <c r="BJ23" s="182">
        <f t="shared" ref="BJ23" si="43">IF(BC23=0,9,IF(AK23&gt;=BC23,5,IF(AK23&gt;=BB23,4,IF(AK23&gt;=BA23,3,IF(AK23&gt;=AZ23,2,IF(AK23&lt;AY23,0,1))))))</f>
        <v>2</v>
      </c>
      <c r="BK23" s="164" t="str">
        <f t="shared" si="9"/>
        <v>Good</v>
      </c>
      <c r="BL23" s="185"/>
      <c r="BO23" s="167"/>
      <c r="BP23" s="167">
        <v>1</v>
      </c>
      <c r="BQ23" s="167">
        <f t="shared" si="15"/>
        <v>1</v>
      </c>
      <c r="BR23" s="167">
        <f t="shared" si="22"/>
        <v>0</v>
      </c>
      <c r="BS23" s="167">
        <f t="shared" si="17"/>
        <v>0</v>
      </c>
      <c r="BT23" s="167">
        <f t="shared" si="18"/>
        <v>0</v>
      </c>
      <c r="BW23" s="677"/>
      <c r="BX23" s="677"/>
      <c r="BY23" s="287"/>
      <c r="BZ23" s="287"/>
      <c r="CA23" s="287"/>
      <c r="CB23" s="287"/>
    </row>
    <row r="24" spans="1:81" x14ac:dyDescent="0.25">
      <c r="A24" s="96">
        <v>16</v>
      </c>
      <c r="B24" s="96" t="str">
        <f t="shared" si="34"/>
        <v>Man 03e</v>
      </c>
      <c r="C24" s="96" t="str">
        <f t="shared" si="19"/>
        <v>Man 03</v>
      </c>
      <c r="D24" s="167" t="s">
        <v>694</v>
      </c>
      <c r="E24" s="1107" t="s">
        <v>992</v>
      </c>
      <c r="F24" s="775">
        <v>1</v>
      </c>
      <c r="G24" s="775">
        <v>1</v>
      </c>
      <c r="H24" s="775">
        <v>1</v>
      </c>
      <c r="I24" s="775">
        <v>1</v>
      </c>
      <c r="J24" s="775">
        <v>1</v>
      </c>
      <c r="K24" s="775">
        <v>1</v>
      </c>
      <c r="L24" s="775">
        <v>1</v>
      </c>
      <c r="M24" s="775">
        <v>1</v>
      </c>
      <c r="N24" s="775">
        <v>1</v>
      </c>
      <c r="O24" s="775">
        <v>1</v>
      </c>
      <c r="P24" s="775">
        <v>1</v>
      </c>
      <c r="Q24" s="775">
        <v>1</v>
      </c>
      <c r="R24" s="775">
        <v>1</v>
      </c>
      <c r="T24" s="165">
        <f t="shared" si="2"/>
        <v>1</v>
      </c>
      <c r="U24" s="166"/>
      <c r="V24" s="167"/>
      <c r="W24" s="167"/>
      <c r="X24" s="168"/>
      <c r="Y24" s="169"/>
      <c r="Z24" s="1158">
        <f>VLOOKUP(B24,'Manuell filtrering og justering'!$A$7:$H$107,'Manuell filtrering og justering'!$H$1,FALSE)</f>
        <v>1</v>
      </c>
      <c r="AA24" s="1167">
        <f t="shared" si="11"/>
        <v>0</v>
      </c>
      <c r="AB24" s="185">
        <f>IF($AC$5='Manuell filtrering og justering'!$J$2,Z24,(T24-AA24))</f>
        <v>1</v>
      </c>
      <c r="AD24" s="171">
        <f t="shared" si="37"/>
        <v>6.1904761904761907E-3</v>
      </c>
      <c r="AE24" s="171">
        <f t="shared" si="38"/>
        <v>0</v>
      </c>
      <c r="AF24" s="171">
        <f t="shared" si="39"/>
        <v>0</v>
      </c>
      <c r="AG24" s="171">
        <f t="shared" si="40"/>
        <v>0</v>
      </c>
      <c r="AI24" s="172">
        <f>IF(VLOOKUP(E24,'Pre-Assessment Estimator'!$E$11:$Z$226,'Pre-Assessment Estimator'!$G$2,FALSE)&gt;AB24,AB24,VLOOKUP(E24,'Pre-Assessment Estimator'!$E$11:$Z$226,'Pre-Assessment Estimator'!$G$2,FALSE))</f>
        <v>0</v>
      </c>
      <c r="AJ24" s="172">
        <f>IF(VLOOKUP(E24,'Pre-Assessment Estimator'!$E$11:$Z$226,'Pre-Assessment Estimator'!$N$2,FALSE)&gt;AB24,AB24,VLOOKUP(E24,'Pre-Assessment Estimator'!$E$11:$Z$226,'Pre-Assessment Estimator'!$N$2,FALSE))</f>
        <v>0</v>
      </c>
      <c r="AK24" s="172">
        <f>IF(VLOOKUP(E24,'Pre-Assessment Estimator'!$E$11:$Z$226,'Pre-Assessment Estimator'!$U$2,FALSE)&gt;AB24,AB24,VLOOKUP(E24,'Pre-Assessment Estimator'!$E$11:$Z$226,'Pre-Assessment Estimator'!$U$2,FALSE))</f>
        <v>0</v>
      </c>
      <c r="AM24" s="1003"/>
      <c r="AN24" s="1004"/>
      <c r="AO24" s="1004"/>
      <c r="AP24" s="1004"/>
      <c r="AQ24" s="1002"/>
      <c r="AR24" s="137"/>
      <c r="AS24" s="1003"/>
      <c r="AT24" s="1004"/>
      <c r="AU24" s="1004"/>
      <c r="AV24" s="1004"/>
      <c r="AW24" s="1002"/>
      <c r="AX24" s="141"/>
      <c r="AY24" s="1019"/>
      <c r="AZ24" s="183"/>
      <c r="BA24" s="183"/>
      <c r="BB24" s="183"/>
      <c r="BC24" s="183"/>
      <c r="BD24" s="1005">
        <f>BD25</f>
        <v>3</v>
      </c>
      <c r="BE24" s="164" t="str">
        <f t="shared" si="6"/>
        <v>Very Good</v>
      </c>
      <c r="BF24" s="185"/>
      <c r="BG24" s="1005">
        <f>BG25</f>
        <v>3</v>
      </c>
      <c r="BH24" s="164" t="str">
        <f t="shared" si="8"/>
        <v>Very Good</v>
      </c>
      <c r="BI24" s="185"/>
      <c r="BJ24" s="1005">
        <f>BJ25</f>
        <v>3</v>
      </c>
      <c r="BK24" s="164" t="str">
        <f t="shared" si="9"/>
        <v>Very Good</v>
      </c>
      <c r="BL24" s="185"/>
      <c r="BO24" s="167"/>
      <c r="BP24" s="167"/>
      <c r="BQ24" s="167" t="str">
        <f t="shared" si="15"/>
        <v/>
      </c>
      <c r="BR24" s="167">
        <f t="shared" si="22"/>
        <v>9</v>
      </c>
      <c r="BS24" s="167">
        <f t="shared" si="17"/>
        <v>9</v>
      </c>
      <c r="BT24" s="167">
        <f t="shared" si="18"/>
        <v>9</v>
      </c>
      <c r="BW24" s="677"/>
      <c r="BX24" s="677"/>
      <c r="BY24" s="287"/>
      <c r="BZ24" s="287"/>
      <c r="CA24" s="287"/>
      <c r="CB24" s="287"/>
    </row>
    <row r="25" spans="1:81" x14ac:dyDescent="0.25">
      <c r="A25" s="96">
        <v>17</v>
      </c>
      <c r="B25" s="96" t="str">
        <f t="shared" si="34"/>
        <v>Man 03f</v>
      </c>
      <c r="C25" s="96" t="str">
        <f t="shared" si="19"/>
        <v>Man 03</v>
      </c>
      <c r="D25" s="167" t="s">
        <v>909</v>
      </c>
      <c r="E25" s="1107" t="s">
        <v>993</v>
      </c>
      <c r="F25" s="775">
        <v>2</v>
      </c>
      <c r="G25" s="775">
        <v>2</v>
      </c>
      <c r="H25" s="775">
        <v>2</v>
      </c>
      <c r="I25" s="775">
        <v>2</v>
      </c>
      <c r="J25" s="775">
        <v>2</v>
      </c>
      <c r="K25" s="775">
        <v>2</v>
      </c>
      <c r="L25" s="775">
        <v>2</v>
      </c>
      <c r="M25" s="775">
        <v>2</v>
      </c>
      <c r="N25" s="775">
        <v>2</v>
      </c>
      <c r="O25" s="775">
        <v>2</v>
      </c>
      <c r="P25" s="775">
        <v>2</v>
      </c>
      <c r="Q25" s="775">
        <v>2</v>
      </c>
      <c r="R25" s="775">
        <v>2</v>
      </c>
      <c r="T25" s="165">
        <f t="shared" si="2"/>
        <v>2</v>
      </c>
      <c r="U25" s="166"/>
      <c r="V25" s="167"/>
      <c r="W25" s="167"/>
      <c r="X25" s="168"/>
      <c r="Y25" s="169"/>
      <c r="Z25" s="1158">
        <f>VLOOKUP(B25,'Manuell filtrering og justering'!$A$7:$H$107,'Manuell filtrering og justering'!$H$1,FALSE)</f>
        <v>2</v>
      </c>
      <c r="AA25" s="1167">
        <f t="shared" si="11"/>
        <v>0</v>
      </c>
      <c r="AB25" s="185">
        <f>IF($AC$5='Manuell filtrering og justering'!$J$2,Z25,(T25-AA25))</f>
        <v>2</v>
      </c>
      <c r="AD25" s="171">
        <f t="shared" si="4"/>
        <v>1.2380952380952381E-2</v>
      </c>
      <c r="AE25" s="171">
        <f>IF(AB25=0,0,(AD25/AB25)*AI25)</f>
        <v>0</v>
      </c>
      <c r="AF25" s="171">
        <f t="shared" si="20"/>
        <v>0</v>
      </c>
      <c r="AG25" s="171">
        <f t="shared" si="21"/>
        <v>0</v>
      </c>
      <c r="AI25" s="172">
        <f>IF(VLOOKUP(E25,'Pre-Assessment Estimator'!$E$11:$Z$226,'Pre-Assessment Estimator'!$G$2,FALSE)&gt;AB25,AB25,VLOOKUP(E25,'Pre-Assessment Estimator'!$E$11:$Z$226,'Pre-Assessment Estimator'!$G$2,FALSE))</f>
        <v>0</v>
      </c>
      <c r="AJ25" s="172">
        <f>IF(VLOOKUP(E25,'Pre-Assessment Estimator'!$E$11:$Z$226,'Pre-Assessment Estimator'!$N$2,FALSE)&gt;AB25,AB25,VLOOKUP(E25,'Pre-Assessment Estimator'!$E$11:$Z$226,'Pre-Assessment Estimator'!$N$2,FALSE))</f>
        <v>0</v>
      </c>
      <c r="AK25" s="172">
        <f>IF(VLOOKUP(E25,'Pre-Assessment Estimator'!$E$11:$Z$226,'Pre-Assessment Estimator'!$U$2,FALSE)&gt;AB25,AB25,VLOOKUP(E25,'Pre-Assessment Estimator'!$E$11:$Z$226,'Pre-Assessment Estimator'!$U$2,FALSE))</f>
        <v>0</v>
      </c>
      <c r="AM25" s="1003"/>
      <c r="AN25" s="1004"/>
      <c r="AO25" s="1004"/>
      <c r="AP25" s="1020">
        <v>3</v>
      </c>
      <c r="AQ25" s="1021">
        <v>3</v>
      </c>
      <c r="AR25" s="137"/>
      <c r="AS25" s="1003"/>
      <c r="AT25" s="1004"/>
      <c r="AU25" s="1004"/>
      <c r="AV25" s="1020">
        <v>3</v>
      </c>
      <c r="AW25" s="1021">
        <v>3</v>
      </c>
      <c r="AX25" s="141"/>
      <c r="AY25" s="182"/>
      <c r="AZ25" s="183"/>
      <c r="BA25" s="183"/>
      <c r="BB25" s="183">
        <f>IF($E$6=$H$9,AV25,AP25)</f>
        <v>3</v>
      </c>
      <c r="BC25" s="183">
        <f>IF($E$6=$H$9,AW25,AQ25)</f>
        <v>3</v>
      </c>
      <c r="BD25" s="1005">
        <f>IF(BC25=0,9,IF((AI25+AI24)&gt;=BC25,5,IF((AI25+AI24)&gt;=BB25,4,IF((AI25+AI24)&gt;=BA25,3,IF((AI25+AI24)&gt;=AZ25,2,IF((AI25+AI24)&lt;AY25,0,1))))))</f>
        <v>3</v>
      </c>
      <c r="BE25" s="164" t="str">
        <f t="shared" si="6"/>
        <v>Very Good</v>
      </c>
      <c r="BF25" s="185"/>
      <c r="BG25" s="1005">
        <f>IF(BC25=0,9,IF((AJ25+AJ24)&gt;=BC25,5,IF((AJ25+AJ24)&gt;=BB25,4,IF((AJ25+AJ24)&gt;=BA25,3,IF((AJ25+AJ24)&gt;=AZ25,2,IF((AJ25+AJ24)&lt;AY25,0,1))))))</f>
        <v>3</v>
      </c>
      <c r="BH25" s="164" t="str">
        <f t="shared" si="8"/>
        <v>Very Good</v>
      </c>
      <c r="BI25" s="185"/>
      <c r="BJ25" s="1005">
        <f>IF(BC25=0,9,IF((AK25+AK24)&gt;=BC25,5,IF((AK25+AK24)&gt;=BB25,4,IF((AK25+AK24)&gt;=BA25,3,IF((AK25+AK24)&gt;=AZ25,2,IF((AK25+AK24)&lt;AY25,0,1))))))</f>
        <v>3</v>
      </c>
      <c r="BK25" s="164" t="str">
        <f t="shared" si="9"/>
        <v>Very Good</v>
      </c>
      <c r="BL25" s="185"/>
      <c r="BO25" s="167"/>
      <c r="BP25" s="167"/>
      <c r="BQ25" s="167" t="str">
        <f t="shared" si="15"/>
        <v/>
      </c>
      <c r="BR25" s="167">
        <f t="shared" si="22"/>
        <v>9</v>
      </c>
      <c r="BS25" s="167">
        <f t="shared" si="17"/>
        <v>9</v>
      </c>
      <c r="BT25" s="167">
        <f t="shared" si="18"/>
        <v>9</v>
      </c>
      <c r="BW25" s="677"/>
      <c r="BX25" s="677"/>
      <c r="BY25" s="287"/>
      <c r="BZ25" s="287"/>
      <c r="CA25" s="287"/>
      <c r="CB25" s="287"/>
    </row>
    <row r="26" spans="1:81" x14ac:dyDescent="0.25">
      <c r="A26" s="96">
        <v>18</v>
      </c>
      <c r="B26" s="137" t="str">
        <f>D26</f>
        <v>Man 04</v>
      </c>
      <c r="C26" s="137" t="str">
        <f>B26</f>
        <v>Man 04</v>
      </c>
      <c r="D26" s="832" t="s">
        <v>95</v>
      </c>
      <c r="E26" s="832" t="s">
        <v>396</v>
      </c>
      <c r="F26" s="933">
        <f>SUM(F27:F29)</f>
        <v>3</v>
      </c>
      <c r="G26" s="933">
        <f t="shared" ref="G26:R26" si="44">SUM(G27:G29)</f>
        <v>3</v>
      </c>
      <c r="H26" s="933">
        <f t="shared" si="44"/>
        <v>3</v>
      </c>
      <c r="I26" s="933">
        <f t="shared" si="44"/>
        <v>3</v>
      </c>
      <c r="J26" s="933">
        <f t="shared" si="44"/>
        <v>3</v>
      </c>
      <c r="K26" s="933">
        <f t="shared" si="44"/>
        <v>3</v>
      </c>
      <c r="L26" s="933">
        <f t="shared" si="44"/>
        <v>3</v>
      </c>
      <c r="M26" s="933">
        <f t="shared" si="44"/>
        <v>3</v>
      </c>
      <c r="N26" s="933">
        <f t="shared" si="44"/>
        <v>3</v>
      </c>
      <c r="O26" s="933">
        <f t="shared" si="44"/>
        <v>3</v>
      </c>
      <c r="P26" s="933">
        <f t="shared" si="44"/>
        <v>3</v>
      </c>
      <c r="Q26" s="933">
        <f t="shared" ref="Q26" si="45">SUM(Q27:Q29)</f>
        <v>3</v>
      </c>
      <c r="R26" s="933">
        <f t="shared" si="44"/>
        <v>3</v>
      </c>
      <c r="T26" s="919">
        <f t="shared" si="2"/>
        <v>3</v>
      </c>
      <c r="U26" s="166"/>
      <c r="V26" s="167"/>
      <c r="W26" s="167"/>
      <c r="X26" s="168">
        <f>'Manuell filtrering og justering'!E10</f>
        <v>0</v>
      </c>
      <c r="Y26" s="169"/>
      <c r="Z26" s="1175">
        <f t="shared" ref="Z26" si="46">SUM(Z27:Z29)</f>
        <v>3</v>
      </c>
      <c r="AA26" s="1167">
        <f t="shared" si="11"/>
        <v>0</v>
      </c>
      <c r="AB26" s="1171">
        <f>SUM(AB27:AB29)</f>
        <v>3</v>
      </c>
      <c r="AD26" s="921">
        <f t="shared" si="4"/>
        <v>1.8571428571428572E-2</v>
      </c>
      <c r="AE26" s="921">
        <f>SUM(AE27:AE29)</f>
        <v>0</v>
      </c>
      <c r="AF26" s="921">
        <f>SUM(AF27:AF29)</f>
        <v>0</v>
      </c>
      <c r="AG26" s="921">
        <f>SUM(AG27:AG29)</f>
        <v>0</v>
      </c>
      <c r="AI26" s="922">
        <f t="shared" ref="AI26:AK26" si="47">SUM(AI27:AI29)</f>
        <v>0</v>
      </c>
      <c r="AJ26" s="922">
        <f t="shared" si="47"/>
        <v>0</v>
      </c>
      <c r="AK26" s="922">
        <f t="shared" si="47"/>
        <v>0</v>
      </c>
      <c r="AM26" s="291"/>
      <c r="AN26" s="181"/>
      <c r="AO26" s="181"/>
      <c r="AP26" s="181"/>
      <c r="AQ26" s="186"/>
      <c r="AS26" s="291"/>
      <c r="AT26" s="181"/>
      <c r="AU26" s="181"/>
      <c r="AV26" s="181"/>
      <c r="AW26" s="186"/>
      <c r="AX26" s="141"/>
      <c r="AY26" s="182"/>
      <c r="AZ26" s="183"/>
      <c r="BA26" s="183"/>
      <c r="BB26" s="183"/>
      <c r="BC26" s="187"/>
      <c r="BD26" s="182">
        <f t="shared" si="30"/>
        <v>9</v>
      </c>
      <c r="BE26" s="164" t="str">
        <f t="shared" si="6"/>
        <v>N/A</v>
      </c>
      <c r="BF26" s="185"/>
      <c r="BG26" s="182">
        <f t="shared" si="35"/>
        <v>9</v>
      </c>
      <c r="BH26" s="164" t="str">
        <f t="shared" si="8"/>
        <v>N/A</v>
      </c>
      <c r="BI26" s="185"/>
      <c r="BJ26" s="182">
        <f t="shared" si="36"/>
        <v>9</v>
      </c>
      <c r="BK26" s="164" t="str">
        <f t="shared" si="9"/>
        <v>N/A</v>
      </c>
      <c r="BL26" s="185"/>
      <c r="BO26" s="167"/>
      <c r="BP26" s="167"/>
      <c r="BQ26" s="167" t="str">
        <f t="shared" si="15"/>
        <v/>
      </c>
      <c r="BR26" s="167">
        <f t="shared" si="22"/>
        <v>9</v>
      </c>
      <c r="BS26" s="167">
        <f t="shared" si="17"/>
        <v>9</v>
      </c>
      <c r="BT26" s="167">
        <f t="shared" si="18"/>
        <v>9</v>
      </c>
      <c r="BW26" s="677" t="str">
        <f>D26</f>
        <v>Man 04</v>
      </c>
      <c r="BX26" s="677" t="str">
        <f>IFERROR(VLOOKUP($E26,'Pre-Assessment Estimator'!$E$11:$AB$226,'Pre-Assessment Estimator'!AB$2,FALSE),"")</f>
        <v>No</v>
      </c>
      <c r="BY26" s="287">
        <f>IFERROR(VLOOKUP($E26,'Pre-Assessment Estimator'!$E$11:$AI$226,'Pre-Assessment Estimator'!AI$2,FALSE),"")</f>
        <v>0</v>
      </c>
      <c r="BZ26" s="287">
        <f>IFERROR(VLOOKUP($BX26,$E$293:$H$326,F$291,FALSE),"")</f>
        <v>1</v>
      </c>
      <c r="CA26" s="287">
        <f>IFERROR(VLOOKUP($BX26,$E$293:$H$326,G$291,FALSE),"")</f>
        <v>0</v>
      </c>
      <c r="CB26" s="287"/>
      <c r="CC26" s="96" t="str">
        <f>IFERROR(VLOOKUP($BX26,$E$293:$H$326,I$291,FALSE),"")</f>
        <v/>
      </c>
    </row>
    <row r="27" spans="1:81" x14ac:dyDescent="0.25">
      <c r="A27" s="96">
        <v>19</v>
      </c>
      <c r="B27" s="96" t="str">
        <f t="shared" ref="B27:B29" si="48">$D$26&amp;D27</f>
        <v>Man 04a</v>
      </c>
      <c r="C27" s="96" t="str">
        <f t="shared" si="19"/>
        <v>Man 04</v>
      </c>
      <c r="D27" s="167" t="s">
        <v>693</v>
      </c>
      <c r="E27" s="1107" t="s">
        <v>597</v>
      </c>
      <c r="F27" s="775">
        <v>1</v>
      </c>
      <c r="G27" s="775">
        <v>1</v>
      </c>
      <c r="H27" s="775">
        <v>1</v>
      </c>
      <c r="I27" s="775">
        <v>1</v>
      </c>
      <c r="J27" s="775">
        <v>1</v>
      </c>
      <c r="K27" s="775">
        <v>1</v>
      </c>
      <c r="L27" s="775">
        <v>1</v>
      </c>
      <c r="M27" s="775">
        <v>1</v>
      </c>
      <c r="N27" s="775">
        <v>1</v>
      </c>
      <c r="O27" s="775">
        <v>1</v>
      </c>
      <c r="P27" s="775">
        <v>1</v>
      </c>
      <c r="Q27" s="775">
        <v>1</v>
      </c>
      <c r="R27" s="775">
        <v>1</v>
      </c>
      <c r="T27" s="165">
        <f t="shared" si="2"/>
        <v>1</v>
      </c>
      <c r="U27" s="166"/>
      <c r="V27" s="167"/>
      <c r="W27" s="167"/>
      <c r="X27" s="168"/>
      <c r="Y27" s="169"/>
      <c r="Z27" s="1158">
        <f>VLOOKUP(B27,'Manuell filtrering og justering'!$A$7:$H$107,'Manuell filtrering og justering'!$H$1,FALSE)</f>
        <v>1</v>
      </c>
      <c r="AA27" s="1167">
        <f t="shared" si="11"/>
        <v>0</v>
      </c>
      <c r="AB27" s="185">
        <f>IF($AC$5='Manuell filtrering og justering'!$J$2,Z27,(T27-AA27))</f>
        <v>1</v>
      </c>
      <c r="AD27" s="171">
        <f t="shared" si="4"/>
        <v>6.1904761904761907E-3</v>
      </c>
      <c r="AE27" s="171">
        <f>IF(AB27=0,0,(AD27/AB27)*AI27)</f>
        <v>0</v>
      </c>
      <c r="AF27" s="171">
        <f t="shared" si="20"/>
        <v>0</v>
      </c>
      <c r="AG27" s="171">
        <f t="shared" si="21"/>
        <v>0</v>
      </c>
      <c r="AI27" s="172">
        <f>IF(VLOOKUP(E27,'Pre-Assessment Estimator'!$E$11:$Z$226,'Pre-Assessment Estimator'!$G$2,FALSE)&gt;AB27,AB27,VLOOKUP(E27,'Pre-Assessment Estimator'!$E$11:$Z$226,'Pre-Assessment Estimator'!$G$2,FALSE))</f>
        <v>0</v>
      </c>
      <c r="AJ27" s="172">
        <f>IF(VLOOKUP(E27,'Pre-Assessment Estimator'!$E$11:$Z$226,'Pre-Assessment Estimator'!$N$2,FALSE)&gt;AB27,AB27,VLOOKUP(E27,'Pre-Assessment Estimator'!$E$11:$Z$226,'Pre-Assessment Estimator'!$N$2,FALSE))</f>
        <v>0</v>
      </c>
      <c r="AK27" s="172">
        <f>IF(VLOOKUP(E27,'Pre-Assessment Estimator'!$E$11:$Z$226,'Pre-Assessment Estimator'!$U$2,FALSE)&gt;AB27,AB27,VLOOKUP(E27,'Pre-Assessment Estimator'!$E$11:$Z$226,'Pre-Assessment Estimator'!$U$2,FALSE))</f>
        <v>0</v>
      </c>
      <c r="AM27" s="291">
        <v>1</v>
      </c>
      <c r="AN27" s="181">
        <v>1</v>
      </c>
      <c r="AO27" s="181">
        <v>1</v>
      </c>
      <c r="AP27" s="181">
        <v>1</v>
      </c>
      <c r="AQ27" s="186">
        <v>1</v>
      </c>
      <c r="AS27" s="291">
        <v>1</v>
      </c>
      <c r="AT27" s="181">
        <v>1</v>
      </c>
      <c r="AU27" s="181">
        <v>1</v>
      </c>
      <c r="AV27" s="181">
        <v>1</v>
      </c>
      <c r="AW27" s="186">
        <v>1</v>
      </c>
      <c r="AX27" s="141"/>
      <c r="AY27" s="183">
        <f>IF($E$6=$H$9,AS27,AM27)</f>
        <v>1</v>
      </c>
      <c r="AZ27" s="183">
        <f>IF($E$6=$H$9,AT27,AN27)</f>
        <v>1</v>
      </c>
      <c r="BA27" s="183">
        <f>IF($E$6=$H$9,AU27,AO27)</f>
        <v>1</v>
      </c>
      <c r="BB27" s="183">
        <f>IF($E$6=$H$9,AV27,AP27)</f>
        <v>1</v>
      </c>
      <c r="BC27" s="183">
        <f>IF($E$6=$H$9,AW27,AQ27)</f>
        <v>1</v>
      </c>
      <c r="BD27" s="182">
        <f t="shared" si="30"/>
        <v>0</v>
      </c>
      <c r="BE27" s="164" t="str">
        <f t="shared" si="6"/>
        <v>Unclassified</v>
      </c>
      <c r="BF27" s="185"/>
      <c r="BG27" s="182">
        <f t="shared" si="35"/>
        <v>0</v>
      </c>
      <c r="BH27" s="164" t="str">
        <f t="shared" si="8"/>
        <v>Unclassified</v>
      </c>
      <c r="BI27" s="185"/>
      <c r="BJ27" s="182">
        <f t="shared" si="36"/>
        <v>0</v>
      </c>
      <c r="BK27" s="164" t="str">
        <f t="shared" si="9"/>
        <v>Unclassified</v>
      </c>
      <c r="BL27" s="185"/>
      <c r="BO27" s="167"/>
      <c r="BP27" s="167"/>
      <c r="BQ27" s="167" t="str">
        <f t="shared" si="15"/>
        <v/>
      </c>
      <c r="BR27" s="167">
        <f t="shared" si="22"/>
        <v>9</v>
      </c>
      <c r="BS27" s="167">
        <f t="shared" si="17"/>
        <v>9</v>
      </c>
      <c r="BT27" s="167">
        <f t="shared" si="18"/>
        <v>9</v>
      </c>
      <c r="BW27" s="677"/>
      <c r="BX27" s="677"/>
      <c r="BY27" s="287"/>
      <c r="BZ27" s="287"/>
      <c r="CA27" s="287"/>
      <c r="CB27" s="287"/>
    </row>
    <row r="28" spans="1:81" x14ac:dyDescent="0.25">
      <c r="A28" s="96">
        <v>20</v>
      </c>
      <c r="B28" s="96" t="str">
        <f t="shared" si="48"/>
        <v>Man 04b</v>
      </c>
      <c r="C28" s="96" t="str">
        <f t="shared" si="19"/>
        <v>Man 04</v>
      </c>
      <c r="D28" s="167" t="s">
        <v>696</v>
      </c>
      <c r="E28" s="1107" t="s">
        <v>598</v>
      </c>
      <c r="F28" s="775">
        <v>1</v>
      </c>
      <c r="G28" s="775">
        <v>1</v>
      </c>
      <c r="H28" s="775">
        <v>1</v>
      </c>
      <c r="I28" s="775">
        <v>1</v>
      </c>
      <c r="J28" s="775">
        <v>1</v>
      </c>
      <c r="K28" s="775">
        <v>1</v>
      </c>
      <c r="L28" s="775">
        <v>1</v>
      </c>
      <c r="M28" s="775">
        <v>1</v>
      </c>
      <c r="N28" s="775">
        <v>1</v>
      </c>
      <c r="O28" s="775">
        <v>1</v>
      </c>
      <c r="P28" s="775">
        <v>1</v>
      </c>
      <c r="Q28" s="775">
        <v>1</v>
      </c>
      <c r="R28" s="775">
        <v>1</v>
      </c>
      <c r="T28" s="165">
        <f t="shared" si="2"/>
        <v>1</v>
      </c>
      <c r="U28" s="166"/>
      <c r="V28" s="167"/>
      <c r="W28" s="167"/>
      <c r="X28" s="168"/>
      <c r="Y28" s="169">
        <f>IF($Y$4=$Y$6,T28,0)</f>
        <v>0</v>
      </c>
      <c r="Z28" s="1158">
        <f>VLOOKUP(B28,'Manuell filtrering og justering'!$A$7:$H$107,'Manuell filtrering og justering'!$H$1,FALSE)</f>
        <v>1</v>
      </c>
      <c r="AA28" s="1167">
        <f t="shared" si="11"/>
        <v>0</v>
      </c>
      <c r="AB28" s="185">
        <f>IF($AC$5='Manuell filtrering og justering'!$J$2,Z28,(T28-AA28))</f>
        <v>1</v>
      </c>
      <c r="AD28" s="171">
        <f t="shared" si="4"/>
        <v>6.1904761904761907E-3</v>
      </c>
      <c r="AE28" s="171">
        <f>IF(AB28=0,0,(AD28/AB28)*AI28)</f>
        <v>0</v>
      </c>
      <c r="AF28" s="171">
        <f t="shared" si="20"/>
        <v>0</v>
      </c>
      <c r="AG28" s="171">
        <f t="shared" si="21"/>
        <v>0</v>
      </c>
      <c r="AI28" s="172">
        <f>IF(VLOOKUP(E28,'Pre-Assessment Estimator'!$E$11:$Z$226,'Pre-Assessment Estimator'!$G$2,FALSE)&gt;AB28,AB28,VLOOKUP(E28,'Pre-Assessment Estimator'!$E$11:$Z$226,'Pre-Assessment Estimator'!$G$2,FALSE))</f>
        <v>0</v>
      </c>
      <c r="AJ28" s="172">
        <f>IF(VLOOKUP(E28,'Pre-Assessment Estimator'!$E$11:$Z$226,'Pre-Assessment Estimator'!$N$2,FALSE)&gt;AB28,AB28,VLOOKUP(E28,'Pre-Assessment Estimator'!$E$11:$Z$226,'Pre-Assessment Estimator'!$N$2,FALSE))</f>
        <v>0</v>
      </c>
      <c r="AK28" s="172">
        <f>IF(VLOOKUP(E28,'Pre-Assessment Estimator'!$E$11:$Z$226,'Pre-Assessment Estimator'!$U$2,FALSE)&gt;AB28,AB28,VLOOKUP(E28,'Pre-Assessment Estimator'!$E$11:$Z$226,'Pre-Assessment Estimator'!$U$2,FALSE))</f>
        <v>0</v>
      </c>
      <c r="AM28" s="291"/>
      <c r="AN28" s="181"/>
      <c r="AO28" s="181"/>
      <c r="AP28" s="181"/>
      <c r="AQ28" s="186"/>
      <c r="AS28" s="291"/>
      <c r="AT28" s="181"/>
      <c r="AU28" s="181"/>
      <c r="AV28" s="181"/>
      <c r="AW28" s="186"/>
      <c r="AX28" s="141"/>
      <c r="AY28" s="182"/>
      <c r="AZ28" s="183"/>
      <c r="BA28" s="183"/>
      <c r="BB28" s="183"/>
      <c r="BC28" s="187"/>
      <c r="BD28" s="182">
        <f t="shared" si="30"/>
        <v>9</v>
      </c>
      <c r="BE28" s="164" t="str">
        <f t="shared" si="6"/>
        <v>N/A</v>
      </c>
      <c r="BF28" s="185"/>
      <c r="BG28" s="182">
        <f t="shared" si="35"/>
        <v>9</v>
      </c>
      <c r="BH28" s="164" t="str">
        <f t="shared" si="8"/>
        <v>N/A</v>
      </c>
      <c r="BI28" s="185"/>
      <c r="BJ28" s="182">
        <f t="shared" si="36"/>
        <v>9</v>
      </c>
      <c r="BK28" s="164" t="str">
        <f t="shared" si="9"/>
        <v>N/A</v>
      </c>
      <c r="BL28" s="185"/>
      <c r="BO28" s="167"/>
      <c r="BP28" s="167"/>
      <c r="BQ28" s="167" t="str">
        <f t="shared" si="15"/>
        <v/>
      </c>
      <c r="BR28" s="167">
        <f t="shared" si="22"/>
        <v>9</v>
      </c>
      <c r="BS28" s="167">
        <f t="shared" si="17"/>
        <v>9</v>
      </c>
      <c r="BT28" s="167">
        <f t="shared" si="18"/>
        <v>9</v>
      </c>
      <c r="BW28" s="677"/>
      <c r="BX28" s="677"/>
      <c r="BY28" s="287"/>
      <c r="BZ28" s="287"/>
      <c r="CA28" s="287"/>
      <c r="CB28" s="287"/>
    </row>
    <row r="29" spans="1:81" x14ac:dyDescent="0.25">
      <c r="A29" s="96">
        <v>21</v>
      </c>
      <c r="B29" s="96" t="str">
        <f t="shared" si="48"/>
        <v>Man 04c</v>
      </c>
      <c r="C29" s="96" t="str">
        <f t="shared" si="19"/>
        <v>Man 04</v>
      </c>
      <c r="D29" s="167" t="s">
        <v>697</v>
      </c>
      <c r="E29" s="1107" t="s">
        <v>599</v>
      </c>
      <c r="F29" s="775">
        <v>1</v>
      </c>
      <c r="G29" s="775">
        <v>1</v>
      </c>
      <c r="H29" s="775">
        <v>1</v>
      </c>
      <c r="I29" s="775">
        <v>1</v>
      </c>
      <c r="J29" s="775">
        <v>1</v>
      </c>
      <c r="K29" s="775">
        <v>1</v>
      </c>
      <c r="L29" s="775">
        <v>1</v>
      </c>
      <c r="M29" s="775">
        <v>1</v>
      </c>
      <c r="N29" s="775">
        <v>1</v>
      </c>
      <c r="O29" s="775">
        <v>1</v>
      </c>
      <c r="P29" s="775">
        <v>1</v>
      </c>
      <c r="Q29" s="775">
        <v>1</v>
      </c>
      <c r="R29" s="775">
        <v>1</v>
      </c>
      <c r="T29" s="165">
        <f t="shared" si="2"/>
        <v>1</v>
      </c>
      <c r="U29" s="166"/>
      <c r="V29" s="167"/>
      <c r="W29" s="167"/>
      <c r="X29" s="168"/>
      <c r="Y29" s="169"/>
      <c r="Z29" s="1158">
        <f>VLOOKUP(B29,'Manuell filtrering og justering'!$A$7:$H$107,'Manuell filtrering og justering'!$H$1,FALSE)</f>
        <v>1</v>
      </c>
      <c r="AA29" s="1167">
        <f t="shared" si="11"/>
        <v>0</v>
      </c>
      <c r="AB29" s="185">
        <f>IF($AC$5='Manuell filtrering og justering'!$J$2,Z29,(T29-AA29))</f>
        <v>1</v>
      </c>
      <c r="AD29" s="171">
        <f t="shared" si="4"/>
        <v>6.1904761904761907E-3</v>
      </c>
      <c r="AE29" s="171">
        <f>IF(AB29=0,0,(AD29/AB29)*AI29)</f>
        <v>0</v>
      </c>
      <c r="AF29" s="171">
        <f t="shared" si="20"/>
        <v>0</v>
      </c>
      <c r="AG29" s="171">
        <f t="shared" si="21"/>
        <v>0</v>
      </c>
      <c r="AI29" s="172">
        <f>IF(VLOOKUP(E29,'Pre-Assessment Estimator'!$E$11:$Z$226,'Pre-Assessment Estimator'!$G$2,FALSE)&gt;AB29,AB29,VLOOKUP(E29,'Pre-Assessment Estimator'!$E$11:$Z$226,'Pre-Assessment Estimator'!$G$2,FALSE))</f>
        <v>0</v>
      </c>
      <c r="AJ29" s="172">
        <f>IF(VLOOKUP(E29,'Pre-Assessment Estimator'!$E$11:$Z$226,'Pre-Assessment Estimator'!$N$2,FALSE)&gt;AB29,AB29,VLOOKUP(E29,'Pre-Assessment Estimator'!$E$11:$Z$226,'Pre-Assessment Estimator'!$N$2,FALSE))</f>
        <v>0</v>
      </c>
      <c r="AK29" s="172">
        <f>IF(VLOOKUP(E29,'Pre-Assessment Estimator'!$E$11:$Z$226,'Pre-Assessment Estimator'!$U$2,FALSE)&gt;AB29,AB29,VLOOKUP(E29,'Pre-Assessment Estimator'!$E$11:$Z$226,'Pre-Assessment Estimator'!$U$2,FALSE))</f>
        <v>0</v>
      </c>
      <c r="AM29" s="291"/>
      <c r="AN29" s="181"/>
      <c r="AO29" s="181">
        <v>1</v>
      </c>
      <c r="AP29" s="181">
        <v>1</v>
      </c>
      <c r="AQ29" s="186">
        <v>1</v>
      </c>
      <c r="AS29" s="291"/>
      <c r="AT29" s="181"/>
      <c r="AU29" s="181">
        <v>1</v>
      </c>
      <c r="AV29" s="181">
        <v>1</v>
      </c>
      <c r="AW29" s="186">
        <v>1</v>
      </c>
      <c r="AX29" s="141"/>
      <c r="AY29" s="182"/>
      <c r="AZ29" s="183"/>
      <c r="BA29" s="183">
        <f>IF($E$6=$H$9,AU29,AO29)</f>
        <v>1</v>
      </c>
      <c r="BB29" s="183">
        <f>IF($E$6=$H$9,AV29,AP29)</f>
        <v>1</v>
      </c>
      <c r="BC29" s="183">
        <f>IF($E$6=$H$9,AW29,AQ29)</f>
        <v>1</v>
      </c>
      <c r="BD29" s="182">
        <f t="shared" si="30"/>
        <v>2</v>
      </c>
      <c r="BE29" s="164" t="str">
        <f t="shared" si="6"/>
        <v>Good</v>
      </c>
      <c r="BF29" s="185"/>
      <c r="BG29" s="182">
        <f t="shared" si="35"/>
        <v>2</v>
      </c>
      <c r="BH29" s="164" t="str">
        <f t="shared" si="8"/>
        <v>Good</v>
      </c>
      <c r="BI29" s="185"/>
      <c r="BJ29" s="182">
        <f t="shared" si="36"/>
        <v>2</v>
      </c>
      <c r="BK29" s="164" t="str">
        <f t="shared" si="9"/>
        <v>Good</v>
      </c>
      <c r="BL29" s="185"/>
      <c r="BO29" s="167"/>
      <c r="BP29" s="167"/>
      <c r="BQ29" s="167" t="str">
        <f t="shared" si="15"/>
        <v/>
      </c>
      <c r="BR29" s="167">
        <f t="shared" si="22"/>
        <v>9</v>
      </c>
      <c r="BS29" s="167">
        <f t="shared" si="17"/>
        <v>9</v>
      </c>
      <c r="BT29" s="167">
        <f t="shared" si="18"/>
        <v>9</v>
      </c>
      <c r="BW29" s="677"/>
      <c r="BX29" s="677"/>
      <c r="BY29" s="287"/>
      <c r="BZ29" s="287"/>
      <c r="CA29" s="287"/>
      <c r="CB29" s="287"/>
    </row>
    <row r="30" spans="1:81" x14ac:dyDescent="0.25">
      <c r="A30" s="96">
        <v>22</v>
      </c>
      <c r="B30" s="137" t="str">
        <f>D30</f>
        <v>Man 05</v>
      </c>
      <c r="C30" s="137" t="str">
        <f>B30</f>
        <v>Man 05</v>
      </c>
      <c r="D30" s="832" t="s">
        <v>96</v>
      </c>
      <c r="E30" s="832" t="s">
        <v>309</v>
      </c>
      <c r="F30" s="933">
        <f>SUM(F31:F33)</f>
        <v>3</v>
      </c>
      <c r="G30" s="933">
        <f t="shared" ref="G30:R30" si="49">SUM(G31:G33)</f>
        <v>3</v>
      </c>
      <c r="H30" s="933">
        <f t="shared" si="49"/>
        <v>3</v>
      </c>
      <c r="I30" s="933">
        <f t="shared" si="49"/>
        <v>3</v>
      </c>
      <c r="J30" s="933">
        <f t="shared" si="49"/>
        <v>3</v>
      </c>
      <c r="K30" s="933">
        <f t="shared" si="49"/>
        <v>3</v>
      </c>
      <c r="L30" s="933">
        <f t="shared" si="49"/>
        <v>3</v>
      </c>
      <c r="M30" s="933">
        <f t="shared" si="49"/>
        <v>3</v>
      </c>
      <c r="N30" s="933">
        <f t="shared" si="49"/>
        <v>3</v>
      </c>
      <c r="O30" s="933">
        <f t="shared" si="49"/>
        <v>3</v>
      </c>
      <c r="P30" s="933">
        <f t="shared" si="49"/>
        <v>3</v>
      </c>
      <c r="Q30" s="933">
        <f t="shared" ref="Q30" si="50">SUM(Q31:Q33)</f>
        <v>3</v>
      </c>
      <c r="R30" s="933">
        <f t="shared" si="49"/>
        <v>3</v>
      </c>
      <c r="T30" s="919">
        <f t="shared" si="2"/>
        <v>3</v>
      </c>
      <c r="U30" s="166"/>
      <c r="V30" s="167"/>
      <c r="W30" s="167"/>
      <c r="X30" s="168">
        <f>'Manuell filtrering og justering'!E11</f>
        <v>0</v>
      </c>
      <c r="Y30" s="169"/>
      <c r="Z30" s="1175">
        <f t="shared" ref="Z30" si="51">SUM(Z31:Z33)</f>
        <v>3</v>
      </c>
      <c r="AA30" s="1167">
        <f t="shared" si="11"/>
        <v>0</v>
      </c>
      <c r="AB30" s="1171">
        <f>SUM(AB31:AB33)</f>
        <v>3</v>
      </c>
      <c r="AD30" s="921">
        <f t="shared" si="4"/>
        <v>1.8571428571428572E-2</v>
      </c>
      <c r="AE30" s="921">
        <f>SUM(AE31:AE33)</f>
        <v>0</v>
      </c>
      <c r="AF30" s="921">
        <f t="shared" ref="AF30:AG30" si="52">SUM(AF31:AF33)</f>
        <v>0</v>
      </c>
      <c r="AG30" s="921">
        <f t="shared" si="52"/>
        <v>0</v>
      </c>
      <c r="AI30" s="922">
        <f t="shared" ref="AI30:AK30" si="53">SUM(AI31:AI33)</f>
        <v>0</v>
      </c>
      <c r="AJ30" s="922">
        <f t="shared" si="53"/>
        <v>0</v>
      </c>
      <c r="AK30" s="922">
        <f t="shared" si="53"/>
        <v>0</v>
      </c>
      <c r="AM30" s="305"/>
      <c r="AN30" s="306"/>
      <c r="AO30" s="306"/>
      <c r="AP30" s="306"/>
      <c r="AQ30" s="307"/>
      <c r="AS30" s="305"/>
      <c r="AT30" s="306"/>
      <c r="AU30" s="306"/>
      <c r="AV30" s="306"/>
      <c r="AW30" s="307"/>
      <c r="AY30" s="188"/>
      <c r="AZ30" s="189"/>
      <c r="BA30" s="189"/>
      <c r="BB30" s="189"/>
      <c r="BC30" s="190"/>
      <c r="BD30" s="182">
        <f t="shared" si="30"/>
        <v>9</v>
      </c>
      <c r="BE30" s="164" t="str">
        <f t="shared" si="6"/>
        <v>N/A</v>
      </c>
      <c r="BF30" s="185"/>
      <c r="BG30" s="182">
        <f t="shared" si="35"/>
        <v>9</v>
      </c>
      <c r="BH30" s="164" t="str">
        <f t="shared" si="8"/>
        <v>N/A</v>
      </c>
      <c r="BI30" s="185"/>
      <c r="BJ30" s="182">
        <f t="shared" si="36"/>
        <v>9</v>
      </c>
      <c r="BK30" s="164" t="str">
        <f t="shared" si="9"/>
        <v>N/A</v>
      </c>
      <c r="BL30" s="185"/>
      <c r="BO30" s="167"/>
      <c r="BP30" s="167"/>
      <c r="BQ30" s="167" t="str">
        <f t="shared" si="15"/>
        <v/>
      </c>
      <c r="BR30" s="167">
        <f t="shared" si="22"/>
        <v>9</v>
      </c>
      <c r="BS30" s="167">
        <f t="shared" si="17"/>
        <v>9</v>
      </c>
      <c r="BT30" s="167">
        <f t="shared" si="18"/>
        <v>9</v>
      </c>
      <c r="BW30" s="677" t="str">
        <f>D30</f>
        <v>Man 05</v>
      </c>
      <c r="BX30" s="677" t="str">
        <f>IFERROR(VLOOKUP($E30,'Pre-Assessment Estimator'!$E$11:$AB$226,'Pre-Assessment Estimator'!AB$2,FALSE),"")</f>
        <v>No</v>
      </c>
      <c r="BY30" s="287">
        <f>IFERROR(VLOOKUP($E30,'Pre-Assessment Estimator'!$E$11:$AI$226,'Pre-Assessment Estimator'!AI$2,FALSE),"")</f>
        <v>0</v>
      </c>
      <c r="BZ30" s="287">
        <f>IFERROR(VLOOKUP($BX30,$E$293:$H$326,F$291,FALSE),"")</f>
        <v>1</v>
      </c>
      <c r="CA30" s="287">
        <f>IFERROR(VLOOKUP($BX30,$E$293:$H$326,G$291,FALSE),"")</f>
        <v>0</v>
      </c>
      <c r="CB30" s="287"/>
      <c r="CC30" s="96" t="s">
        <v>430</v>
      </c>
    </row>
    <row r="31" spans="1:81" x14ac:dyDescent="0.25">
      <c r="A31" s="96">
        <v>23</v>
      </c>
      <c r="B31" s="96" t="str">
        <f t="shared" ref="B31:B33" si="54">$D$30&amp;D31</f>
        <v>Man 05a</v>
      </c>
      <c r="C31" s="96" t="str">
        <f t="shared" si="19"/>
        <v>Man 05</v>
      </c>
      <c r="D31" s="167" t="s">
        <v>693</v>
      </c>
      <c r="E31" s="1107" t="s">
        <v>600</v>
      </c>
      <c r="F31" s="775">
        <v>1</v>
      </c>
      <c r="G31" s="775">
        <v>1</v>
      </c>
      <c r="H31" s="775">
        <v>1</v>
      </c>
      <c r="I31" s="775">
        <v>1</v>
      </c>
      <c r="J31" s="775">
        <v>1</v>
      </c>
      <c r="K31" s="775">
        <v>1</v>
      </c>
      <c r="L31" s="775">
        <v>1</v>
      </c>
      <c r="M31" s="775">
        <v>1</v>
      </c>
      <c r="N31" s="775">
        <v>1</v>
      </c>
      <c r="O31" s="775">
        <v>1</v>
      </c>
      <c r="P31" s="775">
        <v>1</v>
      </c>
      <c r="Q31" s="775">
        <v>1</v>
      </c>
      <c r="R31" s="775">
        <v>1</v>
      </c>
      <c r="T31" s="165">
        <f t="shared" si="2"/>
        <v>1</v>
      </c>
      <c r="U31" s="166"/>
      <c r="V31" s="167"/>
      <c r="W31" s="167"/>
      <c r="X31" s="168"/>
      <c r="Y31" s="169">
        <f>IF(OR($Y$4=$Y$5,$Y$4=$Y$6),T31,0)</f>
        <v>0</v>
      </c>
      <c r="Z31" s="1158">
        <f>VLOOKUP(B31,'Manuell filtrering og justering'!$A$7:$H$107,'Manuell filtrering og justering'!$H$1,FALSE)</f>
        <v>1</v>
      </c>
      <c r="AA31" s="1167">
        <f t="shared" si="11"/>
        <v>0</v>
      </c>
      <c r="AB31" s="185">
        <f>IF($AC$5='Manuell filtrering og justering'!$J$2,Z31,(T31-AA31))</f>
        <v>1</v>
      </c>
      <c r="AD31" s="171">
        <f t="shared" si="4"/>
        <v>6.1904761904761907E-3</v>
      </c>
      <c r="AE31" s="171">
        <f>IF(AB31=0,0,(AD31/AB31)*AI31)</f>
        <v>0</v>
      </c>
      <c r="AF31" s="171">
        <f t="shared" si="20"/>
        <v>0</v>
      </c>
      <c r="AG31" s="171">
        <f t="shared" si="21"/>
        <v>0</v>
      </c>
      <c r="AI31" s="172">
        <f>IF(VLOOKUP(E31,'Pre-Assessment Estimator'!$E$11:$Z$226,'Pre-Assessment Estimator'!$G$2,FALSE)&gt;AB31,AB31,VLOOKUP(E31,'Pre-Assessment Estimator'!$E$11:$Z$226,'Pre-Assessment Estimator'!$G$2,FALSE))</f>
        <v>0</v>
      </c>
      <c r="AJ31" s="172">
        <f>IF(VLOOKUP(E31,'Pre-Assessment Estimator'!$E$11:$Z$226,'Pre-Assessment Estimator'!$N$2,FALSE)&gt;AB31,AB31,VLOOKUP(E31,'Pre-Assessment Estimator'!$E$11:$Z$226,'Pre-Assessment Estimator'!$N$2,FALSE))</f>
        <v>0</v>
      </c>
      <c r="AK31" s="172">
        <f>IF(VLOOKUP(E31,'Pre-Assessment Estimator'!$E$11:$Z$226,'Pre-Assessment Estimator'!$U$2,FALSE)&gt;AB31,AB31,VLOOKUP(E31,'Pre-Assessment Estimator'!$E$11:$Z$226,'Pre-Assessment Estimator'!$U$2,FALSE))</f>
        <v>0</v>
      </c>
      <c r="AM31" s="305"/>
      <c r="AN31" s="306"/>
      <c r="AO31" s="306"/>
      <c r="AP31" s="306"/>
      <c r="AQ31" s="307"/>
      <c r="AS31" s="305"/>
      <c r="AT31" s="306"/>
      <c r="AU31" s="306"/>
      <c r="AV31" s="306"/>
      <c r="AW31" s="307"/>
      <c r="AY31" s="188"/>
      <c r="AZ31" s="189"/>
      <c r="BA31" s="189"/>
      <c r="BB31" s="189"/>
      <c r="BC31" s="190"/>
      <c r="BD31" s="182">
        <f t="shared" si="30"/>
        <v>9</v>
      </c>
      <c r="BE31" s="164" t="str">
        <f t="shared" si="6"/>
        <v>N/A</v>
      </c>
      <c r="BF31" s="185"/>
      <c r="BG31" s="182">
        <f t="shared" si="35"/>
        <v>9</v>
      </c>
      <c r="BH31" s="164" t="str">
        <f t="shared" si="8"/>
        <v>N/A</v>
      </c>
      <c r="BI31" s="185"/>
      <c r="BJ31" s="182">
        <f t="shared" si="36"/>
        <v>9</v>
      </c>
      <c r="BK31" s="164" t="str">
        <f t="shared" si="9"/>
        <v>N/A</v>
      </c>
      <c r="BL31" s="185"/>
      <c r="BO31" s="167"/>
      <c r="BP31" s="167"/>
      <c r="BQ31" s="167" t="str">
        <f t="shared" si="15"/>
        <v/>
      </c>
      <c r="BR31" s="167">
        <f t="shared" ref="BR31:BR94" si="55">IF(BQ31="",9,(IF(AI31&gt;=BQ31,5,0)))</f>
        <v>9</v>
      </c>
      <c r="BS31" s="167">
        <f t="shared" ref="BS31:BS94" si="56">IF(BQ31="",9,(IF(AJ31&gt;=BQ31,5,0)))</f>
        <v>9</v>
      </c>
      <c r="BT31" s="167">
        <f t="shared" ref="BT31:BT94" si="57">IF(BQ31="",9,(IF(AK31&gt;=BQ31,5,0)))</f>
        <v>9</v>
      </c>
      <c r="BW31" s="677"/>
      <c r="BX31" s="677"/>
      <c r="BY31" s="287"/>
      <c r="BZ31" s="287"/>
      <c r="CA31" s="287"/>
      <c r="CB31" s="287"/>
    </row>
    <row r="32" spans="1:81" x14ac:dyDescent="0.25">
      <c r="A32" s="96">
        <v>24</v>
      </c>
      <c r="B32" s="96" t="str">
        <f t="shared" si="54"/>
        <v>Man 05b</v>
      </c>
      <c r="C32" s="96" t="str">
        <f t="shared" si="19"/>
        <v>Man 05</v>
      </c>
      <c r="D32" s="167" t="s">
        <v>696</v>
      </c>
      <c r="E32" s="1107" t="s">
        <v>601</v>
      </c>
      <c r="F32" s="775">
        <v>1</v>
      </c>
      <c r="G32" s="775">
        <v>1</v>
      </c>
      <c r="H32" s="775">
        <v>1</v>
      </c>
      <c r="I32" s="775">
        <v>1</v>
      </c>
      <c r="J32" s="775">
        <v>1</v>
      </c>
      <c r="K32" s="775">
        <v>1</v>
      </c>
      <c r="L32" s="775">
        <v>1</v>
      </c>
      <c r="M32" s="775">
        <v>1</v>
      </c>
      <c r="N32" s="775">
        <v>1</v>
      </c>
      <c r="O32" s="775">
        <v>1</v>
      </c>
      <c r="P32" s="775">
        <v>1</v>
      </c>
      <c r="Q32" s="775">
        <v>1</v>
      </c>
      <c r="R32" s="775">
        <v>1</v>
      </c>
      <c r="T32" s="165">
        <f t="shared" si="2"/>
        <v>1</v>
      </c>
      <c r="U32" s="166"/>
      <c r="V32" s="167"/>
      <c r="W32" s="167"/>
      <c r="X32" s="168"/>
      <c r="Y32" s="169">
        <f>IF(OR($Y$4=$Y$5,$Y$4=$Y$6),T32,0)</f>
        <v>0</v>
      </c>
      <c r="Z32" s="1158">
        <f>VLOOKUP(B32,'Manuell filtrering og justering'!$A$7:$H$107,'Manuell filtrering og justering'!$H$1,FALSE)</f>
        <v>1</v>
      </c>
      <c r="AA32" s="1167">
        <f t="shared" si="11"/>
        <v>0</v>
      </c>
      <c r="AB32" s="185">
        <f>IF($AC$5='Manuell filtrering og justering'!$J$2,Z32,(T32-AA32))</f>
        <v>1</v>
      </c>
      <c r="AD32" s="171">
        <f t="shared" si="4"/>
        <v>6.1904761904761907E-3</v>
      </c>
      <c r="AE32" s="171">
        <f>IF(AB32=0,0,(AD32/AB32)*AI32)</f>
        <v>0</v>
      </c>
      <c r="AF32" s="171">
        <f t="shared" si="20"/>
        <v>0</v>
      </c>
      <c r="AG32" s="171">
        <f t="shared" si="21"/>
        <v>0</v>
      </c>
      <c r="AI32" s="172">
        <f>IF(VLOOKUP(E32,'Pre-Assessment Estimator'!$E$11:$Z$226,'Pre-Assessment Estimator'!$G$2,FALSE)&gt;AB32,AB32,VLOOKUP(E32,'Pre-Assessment Estimator'!$E$11:$Z$226,'Pre-Assessment Estimator'!$G$2,FALSE))</f>
        <v>0</v>
      </c>
      <c r="AJ32" s="172">
        <f>IF(VLOOKUP(E32,'Pre-Assessment Estimator'!$E$11:$Z$226,'Pre-Assessment Estimator'!$N$2,FALSE)&gt;AB32,AB32,VLOOKUP(E32,'Pre-Assessment Estimator'!$E$11:$Z$226,'Pre-Assessment Estimator'!$N$2,FALSE))</f>
        <v>0</v>
      </c>
      <c r="AK32" s="172">
        <f>IF(VLOOKUP(E32,'Pre-Assessment Estimator'!$E$11:$Z$226,'Pre-Assessment Estimator'!$U$2,FALSE)&gt;AB32,AB32,VLOOKUP(E32,'Pre-Assessment Estimator'!$E$11:$Z$226,'Pre-Assessment Estimator'!$U$2,FALSE))</f>
        <v>0</v>
      </c>
      <c r="AM32" s="305"/>
      <c r="AN32" s="306"/>
      <c r="AO32" s="306"/>
      <c r="AP32" s="1189">
        <f>IF(AND($Y$4&lt;&gt;$Y$3,Y32&gt;0),0,1)</f>
        <v>1</v>
      </c>
      <c r="AQ32" s="1190">
        <f>IF(AND($Y$4&lt;&gt;$Y$3,Y32&gt;0),0,1)</f>
        <v>1</v>
      </c>
      <c r="AR32" s="130"/>
      <c r="AS32" s="1010"/>
      <c r="AT32" s="1008"/>
      <c r="AU32" s="1008"/>
      <c r="AV32" s="1008"/>
      <c r="AW32" s="1009"/>
      <c r="AY32" s="188"/>
      <c r="AZ32" s="189"/>
      <c r="BA32" s="189"/>
      <c r="BB32" s="183">
        <f>IF($E$6=$H$9,AV32,AP32)</f>
        <v>1</v>
      </c>
      <c r="BC32" s="183">
        <f>IF($E$6=$H$9,AW32,AQ32)</f>
        <v>1</v>
      </c>
      <c r="BD32" s="182">
        <f t="shared" si="30"/>
        <v>3</v>
      </c>
      <c r="BE32" s="164" t="str">
        <f t="shared" si="6"/>
        <v>Very Good</v>
      </c>
      <c r="BF32" s="185"/>
      <c r="BG32" s="182">
        <f t="shared" si="35"/>
        <v>3</v>
      </c>
      <c r="BH32" s="164" t="str">
        <f t="shared" si="8"/>
        <v>Very Good</v>
      </c>
      <c r="BI32" s="185"/>
      <c r="BJ32" s="182">
        <f t="shared" si="36"/>
        <v>3</v>
      </c>
      <c r="BK32" s="164" t="str">
        <f t="shared" si="9"/>
        <v>Very Good</v>
      </c>
      <c r="BL32" s="185"/>
      <c r="BO32" s="167"/>
      <c r="BP32" s="167"/>
      <c r="BQ32" s="167" t="str">
        <f t="shared" si="15"/>
        <v/>
      </c>
      <c r="BR32" s="167">
        <f t="shared" si="55"/>
        <v>9</v>
      </c>
      <c r="BS32" s="167">
        <f t="shared" si="56"/>
        <v>9</v>
      </c>
      <c r="BT32" s="167">
        <f t="shared" si="57"/>
        <v>9</v>
      </c>
      <c r="BW32" s="677"/>
      <c r="BX32" s="677"/>
      <c r="BY32" s="287"/>
      <c r="BZ32" s="287"/>
      <c r="CA32" s="287"/>
      <c r="CB32" s="287"/>
    </row>
    <row r="33" spans="1:87" x14ac:dyDescent="0.25">
      <c r="A33" s="96">
        <v>25</v>
      </c>
      <c r="B33" s="96" t="str">
        <f t="shared" si="54"/>
        <v>Man 05c</v>
      </c>
      <c r="C33" s="96" t="str">
        <f t="shared" si="19"/>
        <v>Man 05</v>
      </c>
      <c r="D33" s="167" t="s">
        <v>697</v>
      </c>
      <c r="E33" s="1107" t="s">
        <v>602</v>
      </c>
      <c r="F33" s="775">
        <v>1</v>
      </c>
      <c r="G33" s="775">
        <v>1</v>
      </c>
      <c r="H33" s="775">
        <v>1</v>
      </c>
      <c r="I33" s="775">
        <v>1</v>
      </c>
      <c r="J33" s="775">
        <v>1</v>
      </c>
      <c r="K33" s="775">
        <v>1</v>
      </c>
      <c r="L33" s="775">
        <v>1</v>
      </c>
      <c r="M33" s="775">
        <v>1</v>
      </c>
      <c r="N33" s="775">
        <v>1</v>
      </c>
      <c r="O33" s="775">
        <v>1</v>
      </c>
      <c r="P33" s="775">
        <v>1</v>
      </c>
      <c r="Q33" s="775">
        <v>1</v>
      </c>
      <c r="R33" s="775">
        <v>1</v>
      </c>
      <c r="T33" s="165">
        <f t="shared" si="2"/>
        <v>1</v>
      </c>
      <c r="U33" s="166"/>
      <c r="V33" s="167"/>
      <c r="W33" s="167"/>
      <c r="X33" s="168"/>
      <c r="Y33" s="169">
        <f>IF(OR($Y$4=$Y$5,$Y$4=$Y$6),T33,0)</f>
        <v>0</v>
      </c>
      <c r="Z33" s="1158">
        <f>VLOOKUP(B33,'Manuell filtrering og justering'!$A$7:$H$107,'Manuell filtrering og justering'!$H$1,FALSE)</f>
        <v>1</v>
      </c>
      <c r="AA33" s="1167">
        <f t="shared" si="11"/>
        <v>0</v>
      </c>
      <c r="AB33" s="185">
        <f>IF($AC$5='Manuell filtrering og justering'!$J$2,Z33,(T33-AA33))</f>
        <v>1</v>
      </c>
      <c r="AD33" s="171">
        <f t="shared" si="4"/>
        <v>6.1904761904761907E-3</v>
      </c>
      <c r="AE33" s="171">
        <f>IF(AB33=0,0,(AD33/AB33)*AI33)</f>
        <v>0</v>
      </c>
      <c r="AF33" s="171">
        <f t="shared" si="20"/>
        <v>0</v>
      </c>
      <c r="AG33" s="171">
        <f t="shared" si="21"/>
        <v>0</v>
      </c>
      <c r="AI33" s="172">
        <f>IF(VLOOKUP(E33,'Pre-Assessment Estimator'!$E$11:$Z$226,'Pre-Assessment Estimator'!$G$2,FALSE)&gt;AB33,AB33,VLOOKUP(E33,'Pre-Assessment Estimator'!$E$11:$Z$226,'Pre-Assessment Estimator'!$G$2,FALSE))</f>
        <v>0</v>
      </c>
      <c r="AJ33" s="172">
        <f>IF(VLOOKUP(E33,'Pre-Assessment Estimator'!$E$11:$Z$226,'Pre-Assessment Estimator'!$N$2,FALSE)&gt;AB33,AB33,VLOOKUP(E33,'Pre-Assessment Estimator'!$E$11:$Z$226,'Pre-Assessment Estimator'!$N$2,FALSE))</f>
        <v>0</v>
      </c>
      <c r="AK33" s="172">
        <f>IF(VLOOKUP(E33,'Pre-Assessment Estimator'!$E$11:$Z$226,'Pre-Assessment Estimator'!$U$2,FALSE)&gt;AB33,AB33,VLOOKUP(E33,'Pre-Assessment Estimator'!$E$11:$Z$226,'Pre-Assessment Estimator'!$U$2,FALSE))</f>
        <v>0</v>
      </c>
      <c r="AM33" s="305"/>
      <c r="AN33" s="306"/>
      <c r="AO33" s="306"/>
      <c r="AP33" s="306"/>
      <c r="AQ33" s="307"/>
      <c r="AS33" s="305"/>
      <c r="AT33" s="306"/>
      <c r="AU33" s="306"/>
      <c r="AV33" s="306"/>
      <c r="AW33" s="307"/>
      <c r="AY33" s="188"/>
      <c r="AZ33" s="189"/>
      <c r="BA33" s="189"/>
      <c r="BB33" s="189"/>
      <c r="BC33" s="190"/>
      <c r="BD33" s="182">
        <f t="shared" si="30"/>
        <v>9</v>
      </c>
      <c r="BE33" s="164" t="str">
        <f t="shared" si="6"/>
        <v>N/A</v>
      </c>
      <c r="BF33" s="185"/>
      <c r="BG33" s="182">
        <f t="shared" si="35"/>
        <v>9</v>
      </c>
      <c r="BH33" s="164" t="str">
        <f t="shared" si="8"/>
        <v>N/A</v>
      </c>
      <c r="BI33" s="185"/>
      <c r="BJ33" s="182">
        <f t="shared" si="36"/>
        <v>9</v>
      </c>
      <c r="BK33" s="164" t="str">
        <f t="shared" si="9"/>
        <v>N/A</v>
      </c>
      <c r="BL33" s="185"/>
      <c r="BO33" s="167"/>
      <c r="BP33" s="167"/>
      <c r="BQ33" s="167" t="str">
        <f t="shared" si="15"/>
        <v/>
      </c>
      <c r="BR33" s="167">
        <f t="shared" si="55"/>
        <v>9</v>
      </c>
      <c r="BS33" s="167">
        <f t="shared" si="56"/>
        <v>9</v>
      </c>
      <c r="BT33" s="167">
        <f t="shared" si="57"/>
        <v>9</v>
      </c>
      <c r="BW33" s="677"/>
      <c r="BX33" s="677"/>
      <c r="BY33" s="287"/>
      <c r="BZ33" s="287"/>
      <c r="CA33" s="287"/>
      <c r="CB33" s="287"/>
    </row>
    <row r="34" spans="1:87" x14ac:dyDescent="0.25">
      <c r="A34" s="96">
        <v>26</v>
      </c>
      <c r="D34" s="700" t="s">
        <v>97</v>
      </c>
      <c r="E34" s="700"/>
      <c r="F34" s="934"/>
      <c r="G34" s="934"/>
      <c r="H34" s="934"/>
      <c r="I34" s="934"/>
      <c r="J34" s="934"/>
      <c r="K34" s="934"/>
      <c r="L34" s="934"/>
      <c r="M34" s="934"/>
      <c r="N34" s="934"/>
      <c r="O34" s="934"/>
      <c r="P34" s="934"/>
      <c r="Q34" s="934"/>
      <c r="R34" s="934"/>
      <c r="T34" s="954">
        <f t="shared" si="2"/>
        <v>0</v>
      </c>
      <c r="U34" s="701"/>
      <c r="V34" s="700"/>
      <c r="W34" s="700"/>
      <c r="X34" s="955">
        <f>'Manuell filtrering og justering'!E12</f>
        <v>0</v>
      </c>
      <c r="Y34" s="956"/>
      <c r="Z34" s="1160"/>
      <c r="AA34" s="1167">
        <f t="shared" si="11"/>
        <v>0</v>
      </c>
      <c r="AB34" s="1172">
        <f>IF($AC$5='Manuell filtrering og justering'!$J$2,Z34,(T34-AA34))</f>
        <v>0</v>
      </c>
      <c r="AD34" s="960"/>
      <c r="AE34" s="960"/>
      <c r="AF34" s="960"/>
      <c r="AG34" s="960"/>
      <c r="AI34" s="720"/>
      <c r="AJ34" s="720"/>
      <c r="AK34" s="720"/>
      <c r="AM34" s="292"/>
      <c r="AN34" s="293"/>
      <c r="AO34" s="293"/>
      <c r="AP34" s="293"/>
      <c r="AQ34" s="294"/>
      <c r="AS34" s="292"/>
      <c r="AT34" s="293"/>
      <c r="AU34" s="293"/>
      <c r="AV34" s="293"/>
      <c r="AW34" s="294"/>
      <c r="AY34" s="188"/>
      <c r="AZ34" s="191"/>
      <c r="BA34" s="189"/>
      <c r="BB34" s="189"/>
      <c r="BC34" s="184"/>
      <c r="BD34" s="182">
        <f t="shared" si="30"/>
        <v>9</v>
      </c>
      <c r="BE34" s="164" t="str">
        <f t="shared" si="6"/>
        <v>N/A</v>
      </c>
      <c r="BF34" s="185"/>
      <c r="BG34" s="182">
        <f t="shared" si="35"/>
        <v>9</v>
      </c>
      <c r="BH34" s="164" t="str">
        <f t="shared" si="8"/>
        <v>N/A</v>
      </c>
      <c r="BI34" s="185"/>
      <c r="BJ34" s="182">
        <f t="shared" si="36"/>
        <v>9</v>
      </c>
      <c r="BK34" s="164" t="str">
        <f t="shared" si="9"/>
        <v>N/A</v>
      </c>
      <c r="BL34" s="185"/>
      <c r="BO34" s="167"/>
      <c r="BP34" s="167"/>
      <c r="BQ34" s="167" t="str">
        <f t="shared" si="15"/>
        <v/>
      </c>
      <c r="BR34" s="167">
        <f t="shared" si="55"/>
        <v>9</v>
      </c>
      <c r="BS34" s="167">
        <f t="shared" si="56"/>
        <v>9</v>
      </c>
      <c r="BT34" s="167">
        <f t="shared" si="57"/>
        <v>9</v>
      </c>
      <c r="BW34" s="167"/>
      <c r="BX34" s="167" t="str">
        <f>IFERROR(VLOOKUP($E34,'Pre-Assessment Estimator'!$E$11:$AB$226,'Pre-Assessment Estimator'!AB$2,FALSE),"")</f>
        <v/>
      </c>
      <c r="BY34" s="167" t="str">
        <f>IFERROR(VLOOKUP($E34,'Pre-Assessment Estimator'!$E$11:$AI$226,'Pre-Assessment Estimator'!AI$2,FALSE),"")</f>
        <v/>
      </c>
      <c r="BZ34" s="167" t="str">
        <f t="shared" ref="BZ34:CA38" si="58">IFERROR(VLOOKUP($BX34,$E$293:$H$326,F$291,FALSE),"")</f>
        <v/>
      </c>
      <c r="CA34" s="167" t="str">
        <f t="shared" si="58"/>
        <v/>
      </c>
      <c r="CB34" s="167"/>
      <c r="CC34" s="96" t="str">
        <f t="shared" ref="CC34:CC39" si="59">IFERROR(VLOOKUP($BX34,$E$293:$H$326,I$291,FALSE),"")</f>
        <v/>
      </c>
    </row>
    <row r="35" spans="1:87" ht="15.75" thickBot="1" x14ac:dyDescent="0.3">
      <c r="A35" s="96">
        <v>27</v>
      </c>
      <c r="D35" s="700" t="s">
        <v>98</v>
      </c>
      <c r="E35" s="700"/>
      <c r="F35" s="934"/>
      <c r="G35" s="934"/>
      <c r="H35" s="934"/>
      <c r="I35" s="934"/>
      <c r="J35" s="934"/>
      <c r="K35" s="934"/>
      <c r="L35" s="934"/>
      <c r="M35" s="934"/>
      <c r="N35" s="934"/>
      <c r="O35" s="934"/>
      <c r="P35" s="934"/>
      <c r="Q35" s="934"/>
      <c r="R35" s="934"/>
      <c r="T35" s="954">
        <f t="shared" si="2"/>
        <v>0</v>
      </c>
      <c r="U35" s="701"/>
      <c r="V35" s="700"/>
      <c r="W35" s="700"/>
      <c r="X35" s="955">
        <f>'Manuell filtrering og justering'!E13</f>
        <v>0</v>
      </c>
      <c r="Y35" s="956"/>
      <c r="Z35" s="1160"/>
      <c r="AA35" s="1167">
        <f t="shared" si="11"/>
        <v>0</v>
      </c>
      <c r="AB35" s="1172">
        <f>IF($AC$5='Manuell filtrering og justering'!$J$2,Z35,(T35-AA35))</f>
        <v>0</v>
      </c>
      <c r="AD35" s="960"/>
      <c r="AE35" s="960"/>
      <c r="AF35" s="960"/>
      <c r="AG35" s="960"/>
      <c r="AI35" s="720"/>
      <c r="AJ35" s="720"/>
      <c r="AK35" s="720"/>
      <c r="AM35" s="295"/>
      <c r="AN35" s="296"/>
      <c r="AO35" s="296"/>
      <c r="AP35" s="296"/>
      <c r="AQ35" s="297"/>
      <c r="AS35" s="295"/>
      <c r="AT35" s="296"/>
      <c r="AU35" s="296"/>
      <c r="AV35" s="296"/>
      <c r="AW35" s="297"/>
      <c r="AY35" s="194"/>
      <c r="AZ35" s="195"/>
      <c r="BA35" s="196"/>
      <c r="BB35" s="196"/>
      <c r="BC35" s="197"/>
      <c r="BD35" s="198">
        <f t="shared" ref="BD35:BD169" si="60">IF(BC35=0,9,IF(AI35&gt;=BC35,5,IF(AI35&gt;=BB35,4,IF(AI35&gt;=BA35,3,IF(AI35&gt;=AZ35,2,IF(AI35&lt;AY35,0,1))))))</f>
        <v>9</v>
      </c>
      <c r="BE35" s="164" t="str">
        <f t="shared" si="6"/>
        <v>N/A</v>
      </c>
      <c r="BF35" s="200"/>
      <c r="BG35" s="198">
        <f t="shared" si="7"/>
        <v>9</v>
      </c>
      <c r="BH35" s="164" t="str">
        <f t="shared" si="8"/>
        <v>N/A</v>
      </c>
      <c r="BI35" s="200"/>
      <c r="BJ35" s="198">
        <f t="shared" si="28"/>
        <v>9</v>
      </c>
      <c r="BK35" s="164" t="str">
        <f t="shared" si="9"/>
        <v>N/A</v>
      </c>
      <c r="BL35" s="200"/>
      <c r="BO35" s="167"/>
      <c r="BP35" s="167"/>
      <c r="BQ35" s="167" t="str">
        <f t="shared" si="15"/>
        <v/>
      </c>
      <c r="BR35" s="167">
        <f t="shared" si="55"/>
        <v>9</v>
      </c>
      <c r="BS35" s="167">
        <f t="shared" si="56"/>
        <v>9</v>
      </c>
      <c r="BT35" s="167">
        <f t="shared" si="57"/>
        <v>9</v>
      </c>
      <c r="BW35" s="193"/>
      <c r="BX35" s="193" t="str">
        <f>IFERROR(VLOOKUP($E35,'Pre-Assessment Estimator'!$E$11:$AB$226,'Pre-Assessment Estimator'!AB$2,FALSE),"")</f>
        <v/>
      </c>
      <c r="BY35" s="193" t="str">
        <f>IFERROR(VLOOKUP($E35,'Pre-Assessment Estimator'!$E$11:$AI$226,'Pre-Assessment Estimator'!AI$2,FALSE),"")</f>
        <v/>
      </c>
      <c r="BZ35" s="193" t="str">
        <f t="shared" si="58"/>
        <v/>
      </c>
      <c r="CA35" s="193" t="str">
        <f t="shared" si="58"/>
        <v/>
      </c>
      <c r="CB35" s="193"/>
      <c r="CC35" s="96" t="str">
        <f t="shared" si="59"/>
        <v/>
      </c>
    </row>
    <row r="36" spans="1:87" ht="15.75" thickBot="1" x14ac:dyDescent="0.3">
      <c r="A36" s="96">
        <v>28</v>
      </c>
      <c r="B36" s="96" t="s">
        <v>882</v>
      </c>
      <c r="D36" s="711"/>
      <c r="E36" s="710" t="s">
        <v>214</v>
      </c>
      <c r="F36" s="774">
        <f t="shared" ref="F36:R36" si="61">F10+F16+F19+F26+F30</f>
        <v>21</v>
      </c>
      <c r="G36" s="774">
        <f t="shared" si="61"/>
        <v>21</v>
      </c>
      <c r="H36" s="774">
        <f t="shared" si="61"/>
        <v>21</v>
      </c>
      <c r="I36" s="774">
        <f t="shared" si="61"/>
        <v>21</v>
      </c>
      <c r="J36" s="774">
        <f t="shared" si="61"/>
        <v>21</v>
      </c>
      <c r="K36" s="774">
        <f t="shared" si="61"/>
        <v>21</v>
      </c>
      <c r="L36" s="774">
        <f t="shared" si="61"/>
        <v>21</v>
      </c>
      <c r="M36" s="774">
        <f t="shared" si="61"/>
        <v>21</v>
      </c>
      <c r="N36" s="774">
        <f t="shared" si="61"/>
        <v>21</v>
      </c>
      <c r="O36" s="774">
        <f t="shared" si="61"/>
        <v>21</v>
      </c>
      <c r="P36" s="774">
        <f t="shared" si="61"/>
        <v>21</v>
      </c>
      <c r="Q36" s="774">
        <f t="shared" ref="Q36" si="62">Q10+Q16+Q19+Q26+Q30</f>
        <v>21</v>
      </c>
      <c r="R36" s="774">
        <f t="shared" si="61"/>
        <v>21</v>
      </c>
      <c r="T36" s="203">
        <f t="shared" si="2"/>
        <v>21</v>
      </c>
      <c r="U36" s="204"/>
      <c r="V36" s="205"/>
      <c r="W36" s="205"/>
      <c r="X36" s="206"/>
      <c r="Y36" s="207"/>
      <c r="Z36" s="1161"/>
      <c r="AA36" s="1168">
        <f>AA10+AA16+AA19+AA26+AA30</f>
        <v>0</v>
      </c>
      <c r="AB36" s="1173">
        <f>AB10+AB16+AB19+AB26+AB30</f>
        <v>21</v>
      </c>
      <c r="AD36" s="208">
        <f>AD10+AD16+AD19+AD26+AD30</f>
        <v>0.13</v>
      </c>
      <c r="AE36" s="208">
        <f>AE10+AE16+AE19+AE26+AE30</f>
        <v>0</v>
      </c>
      <c r="AF36" s="208">
        <f>AF10+AF16+AF19+AF26+AF30</f>
        <v>0</v>
      </c>
      <c r="AG36" s="208">
        <f>AG10+AG16+AG19+AG26+AG30</f>
        <v>0</v>
      </c>
      <c r="AI36" s="78">
        <f>AI10+AI16+AI19+AI26+AI30</f>
        <v>0</v>
      </c>
      <c r="AJ36" s="78">
        <f>AJ10+AJ16+AJ19+AJ26+AJ30</f>
        <v>0</v>
      </c>
      <c r="AK36" s="78">
        <f>AK10+AK16+AK19+AK26+AK30</f>
        <v>0</v>
      </c>
      <c r="AM36" s="139"/>
      <c r="AN36" s="139"/>
      <c r="AO36" s="139"/>
      <c r="AP36" s="139"/>
      <c r="AQ36" s="139"/>
      <c r="AS36" s="139"/>
      <c r="AT36" s="139"/>
      <c r="AU36" s="139"/>
      <c r="AV36" s="139"/>
      <c r="AW36" s="139"/>
      <c r="AY36" s="97"/>
      <c r="AZ36" s="209"/>
      <c r="BA36" s="97"/>
      <c r="BB36" s="97"/>
      <c r="BC36" s="97"/>
      <c r="BW36" s="202"/>
      <c r="BX36" s="202" t="str">
        <f>IFERROR(VLOOKUP($E36,'Pre-Assessment Estimator'!$E$11:$AB$226,'Pre-Assessment Estimator'!AB$2,FALSE),"")</f>
        <v/>
      </c>
      <c r="BY36" s="202" t="str">
        <f>IFERROR(VLOOKUP($E36,'Pre-Assessment Estimator'!$E$11:$AI$226,'Pre-Assessment Estimator'!AI$2,FALSE),"")</f>
        <v/>
      </c>
      <c r="BZ36" s="202" t="str">
        <f t="shared" si="58"/>
        <v/>
      </c>
      <c r="CA36" s="202" t="str">
        <f t="shared" si="58"/>
        <v/>
      </c>
      <c r="CB36" s="202"/>
      <c r="CC36" s="96" t="str">
        <f t="shared" si="59"/>
        <v/>
      </c>
    </row>
    <row r="37" spans="1:87" ht="15.75" thickBot="1" x14ac:dyDescent="0.3">
      <c r="A37" s="96">
        <v>29</v>
      </c>
      <c r="AI37" s="1"/>
      <c r="AJ37" s="1"/>
      <c r="AK37" s="1"/>
      <c r="AM37" s="139"/>
      <c r="AN37" s="139"/>
      <c r="AO37" s="139"/>
      <c r="AP37" s="139"/>
      <c r="AQ37" s="139"/>
      <c r="AS37" s="139"/>
      <c r="AT37" s="139"/>
      <c r="AU37" s="139"/>
      <c r="AV37" s="139"/>
      <c r="AW37" s="139"/>
      <c r="AY37" s="97"/>
      <c r="AZ37" s="209"/>
      <c r="BA37" s="97"/>
      <c r="BB37" s="97"/>
      <c r="BC37" s="97"/>
      <c r="BX37" s="96" t="str">
        <f>IFERROR(VLOOKUP($E37,'Pre-Assessment Estimator'!$E$11:$AB$226,'Pre-Assessment Estimator'!AB$2,FALSE),"")</f>
        <v/>
      </c>
      <c r="BY37" s="96" t="str">
        <f>IFERROR(VLOOKUP($E37,'Pre-Assessment Estimator'!$E$11:$AI$226,'Pre-Assessment Estimator'!AI$2,FALSE),"")</f>
        <v/>
      </c>
      <c r="BZ37" s="96" t="str">
        <f t="shared" si="58"/>
        <v/>
      </c>
      <c r="CA37" s="96" t="str">
        <f t="shared" si="58"/>
        <v/>
      </c>
      <c r="CC37" s="96" t="str">
        <f t="shared" si="59"/>
        <v/>
      </c>
    </row>
    <row r="38" spans="1:87" ht="60.75" thickBot="1" x14ac:dyDescent="0.3">
      <c r="A38" s="96">
        <v>30</v>
      </c>
      <c r="D38" s="145"/>
      <c r="E38" s="146" t="s">
        <v>65</v>
      </c>
      <c r="F38" s="1241" t="str">
        <f>$F$9</f>
        <v>Office</v>
      </c>
      <c r="G38" s="1241" t="str">
        <f>$G$9</f>
        <v>Retail</v>
      </c>
      <c r="H38" s="1245" t="str">
        <f>$H$9</f>
        <v>Residential</v>
      </c>
      <c r="I38" s="1241" t="str">
        <f>$I$9</f>
        <v>Industrial</v>
      </c>
      <c r="J38" s="1243" t="str">
        <f>$J$9</f>
        <v>Healthcare</v>
      </c>
      <c r="K38" s="1243" t="str">
        <f>$K$9</f>
        <v>Prison</v>
      </c>
      <c r="L38" s="1243" t="str">
        <f>$L$9</f>
        <v>Law Court</v>
      </c>
      <c r="M38" s="1247" t="str">
        <f>$M$9</f>
        <v>Residential institution (long term stay)</v>
      </c>
      <c r="N38" s="918" t="str">
        <f>$N$9</f>
        <v>Residential institution (short term stay)</v>
      </c>
      <c r="O38" s="918" t="str">
        <f>$O$9</f>
        <v>Non-residential institution</v>
      </c>
      <c r="P38" s="918" t="str">
        <f>$P$9</f>
        <v>Assembly and leisure</v>
      </c>
      <c r="Q38" s="1243" t="str">
        <f>$Q$9</f>
        <v>Education</v>
      </c>
      <c r="R38" s="857" t="str">
        <f>$R$9</f>
        <v>Other</v>
      </c>
      <c r="T38" s="138" t="str">
        <f>$E$6</f>
        <v>Office</v>
      </c>
      <c r="U38" s="210"/>
      <c r="V38" s="211"/>
      <c r="W38" s="666"/>
      <c r="X38" s="1163"/>
      <c r="Y38" s="1176" t="s">
        <v>412</v>
      </c>
      <c r="Z38" s="1174" t="s">
        <v>335</v>
      </c>
      <c r="AA38" s="150" t="s">
        <v>214</v>
      </c>
      <c r="AB38" s="59" t="s">
        <v>15</v>
      </c>
      <c r="AI38" s="42"/>
      <c r="AJ38" s="60"/>
      <c r="AK38" s="60"/>
      <c r="AM38" s="139"/>
      <c r="AN38" s="139"/>
      <c r="AO38" s="139"/>
      <c r="AP38" s="139"/>
      <c r="AQ38" s="139"/>
      <c r="AS38" s="139"/>
      <c r="AT38" s="139"/>
      <c r="AU38" s="139"/>
      <c r="AV38" s="139"/>
      <c r="AW38" s="139"/>
      <c r="AY38" s="97"/>
      <c r="AZ38" s="209"/>
      <c r="BA38" s="97"/>
      <c r="BB38" s="97"/>
      <c r="BC38" s="97"/>
      <c r="BO38" s="60"/>
      <c r="BP38" s="60"/>
      <c r="BQ38" s="60"/>
      <c r="BR38" s="60"/>
      <c r="BS38" s="60"/>
      <c r="BT38" s="60"/>
      <c r="BW38" s="146"/>
      <c r="BX38" s="146" t="str">
        <f>E38</f>
        <v>Health &amp; Wellbeing</v>
      </c>
      <c r="BY38" s="146">
        <f>IFERROR(VLOOKUP($E38,'Pre-Assessment Estimator'!$E$11:$AI$226,'Pre-Assessment Estimator'!AI$2,FALSE),"")</f>
        <v>0</v>
      </c>
      <c r="BZ38" s="146" t="str">
        <f t="shared" si="58"/>
        <v/>
      </c>
      <c r="CA38" s="146" t="str">
        <f t="shared" si="58"/>
        <v/>
      </c>
      <c r="CB38" s="146"/>
      <c r="CC38" s="96" t="str">
        <f t="shared" si="59"/>
        <v/>
      </c>
    </row>
    <row r="39" spans="1:87" x14ac:dyDescent="0.25">
      <c r="A39" s="96">
        <v>31</v>
      </c>
      <c r="B39" s="137" t="str">
        <f>D39</f>
        <v>Hea 01</v>
      </c>
      <c r="C39" s="137" t="str">
        <f>B39</f>
        <v>Hea 01</v>
      </c>
      <c r="D39" s="833" t="s">
        <v>117</v>
      </c>
      <c r="E39" s="831" t="s">
        <v>115</v>
      </c>
      <c r="F39" s="933">
        <f t="shared" ref="F39:K39" si="63">SUM(F41:F45)</f>
        <v>7</v>
      </c>
      <c r="G39" s="933">
        <f t="shared" si="63"/>
        <v>7</v>
      </c>
      <c r="H39" s="933">
        <f t="shared" si="63"/>
        <v>5</v>
      </c>
      <c r="I39" s="933">
        <f t="shared" si="63"/>
        <v>7</v>
      </c>
      <c r="J39" s="933">
        <f t="shared" si="63"/>
        <v>7</v>
      </c>
      <c r="K39" s="933">
        <f t="shared" si="63"/>
        <v>7</v>
      </c>
      <c r="L39" s="933">
        <f t="shared" ref="L39:R39" si="64">SUM(L41:L45)</f>
        <v>7</v>
      </c>
      <c r="M39" s="933">
        <f t="shared" si="64"/>
        <v>7</v>
      </c>
      <c r="N39" s="933">
        <f t="shared" si="64"/>
        <v>7</v>
      </c>
      <c r="O39" s="933">
        <f t="shared" si="64"/>
        <v>7</v>
      </c>
      <c r="P39" s="933">
        <f t="shared" si="64"/>
        <v>7</v>
      </c>
      <c r="Q39" s="933">
        <f t="shared" ref="Q39" si="65">SUM(Q41:Q45)</f>
        <v>7</v>
      </c>
      <c r="R39" s="933">
        <f t="shared" si="64"/>
        <v>7</v>
      </c>
      <c r="T39" s="961">
        <f t="shared" ref="T39:T54" si="66">HLOOKUP($E$6,$F$9:$R$231,$A39,FALSE)</f>
        <v>7</v>
      </c>
      <c r="U39" s="222"/>
      <c r="V39" s="230"/>
      <c r="W39" s="230"/>
      <c r="X39" s="1098">
        <f>'Manuell filtrering og justering'!E17</f>
        <v>0</v>
      </c>
      <c r="Y39" s="963"/>
      <c r="Z39" s="1177">
        <f t="shared" ref="Z39:AB39" si="67">SUM(Z41:Z45)</f>
        <v>7</v>
      </c>
      <c r="AA39" s="963">
        <f t="shared" ref="AA39:AA54" si="68">IF(SUM(U39:Y39)&gt;T39,T39,SUM(U39:Y39))</f>
        <v>0</v>
      </c>
      <c r="AB39" s="1066">
        <f t="shared" si="67"/>
        <v>7</v>
      </c>
      <c r="AD39" s="171">
        <f t="shared" ref="AD39:AD65" si="69">(Hea_Weight/Hea_Credits)*AB39</f>
        <v>5.894736842105263E-2</v>
      </c>
      <c r="AE39" s="921">
        <f>SUM(AE41:AE45)</f>
        <v>0</v>
      </c>
      <c r="AF39" s="921">
        <f>SUM(AF41:AF45)</f>
        <v>0</v>
      </c>
      <c r="AG39" s="921">
        <f>SUM(AG41:AG45)</f>
        <v>0</v>
      </c>
      <c r="AI39" s="958">
        <f t="shared" ref="AI39:AK39" si="70">SUM(AI41:AI45)</f>
        <v>0</v>
      </c>
      <c r="AJ39" s="958">
        <f t="shared" si="70"/>
        <v>0</v>
      </c>
      <c r="AK39" s="958">
        <f t="shared" si="70"/>
        <v>0</v>
      </c>
      <c r="AL39" s="96" t="s">
        <v>426</v>
      </c>
      <c r="AM39" s="298"/>
      <c r="AN39" s="299"/>
      <c r="AO39" s="299"/>
      <c r="AP39" s="299"/>
      <c r="AQ39" s="300"/>
      <c r="AS39" s="298"/>
      <c r="AT39" s="299"/>
      <c r="AU39" s="299"/>
      <c r="AV39" s="299"/>
      <c r="AW39" s="300"/>
      <c r="AY39" s="218"/>
      <c r="AZ39" s="219"/>
      <c r="BA39" s="219"/>
      <c r="BB39" s="219"/>
      <c r="BC39" s="220"/>
      <c r="BD39" s="174">
        <f t="shared" si="60"/>
        <v>9</v>
      </c>
      <c r="BE39" s="164" t="str">
        <f t="shared" ref="BE39:BE65" si="71">VLOOKUP(BD39,$BO$284:$BT$290,6,FALSE)</f>
        <v>N/A</v>
      </c>
      <c r="BF39" s="178"/>
      <c r="BG39" s="174">
        <f t="shared" ref="BG39:BG65" si="72">IF(BC39=0,9,IF(AJ39&gt;=BC39,5,IF(AJ39&gt;=BB39,4,IF(AJ39&gt;=BA39,3,IF(AJ39&gt;=AZ39,2,IF(AJ39&lt;AY39,0,1))))))</f>
        <v>9</v>
      </c>
      <c r="BH39" s="164" t="str">
        <f t="shared" ref="BH39:BH65" si="73">VLOOKUP(BG39,$BO$284:$BT$290,6,FALSE)</f>
        <v>N/A</v>
      </c>
      <c r="BI39" s="178"/>
      <c r="BJ39" s="174">
        <f t="shared" si="28"/>
        <v>9</v>
      </c>
      <c r="BK39" s="164" t="str">
        <f t="shared" ref="BK39:BK65" si="74">VLOOKUP(BJ39,$BO$284:$BT$290,6,FALSE)</f>
        <v>N/A</v>
      </c>
      <c r="BL39" s="178"/>
      <c r="BO39" s="167"/>
      <c r="BP39" s="167"/>
      <c r="BQ39" s="167" t="str">
        <f t="shared" si="15"/>
        <v/>
      </c>
      <c r="BR39" s="167">
        <f t="shared" si="55"/>
        <v>9</v>
      </c>
      <c r="BS39" s="167">
        <f t="shared" si="56"/>
        <v>9</v>
      </c>
      <c r="BT39" s="167">
        <f t="shared" si="57"/>
        <v>9</v>
      </c>
      <c r="BW39" s="674" t="str">
        <f>D39</f>
        <v>Hea 01</v>
      </c>
      <c r="BX39" s="164" t="str">
        <f>IFERROR(VLOOKUP($E39,'Pre-Assessment Estimator'!$E$11:$AB$226,'Pre-Assessment Estimator'!AB$2,FALSE),"")</f>
        <v>No</v>
      </c>
      <c r="BY39" s="674" t="str">
        <f>IFERROR(VLOOKUP($E39,'Pre-Assessment Estimator'!$E$11:$AI$226,'Pre-Assessment Estimator'!AI$2,FALSE),"")</f>
        <v>Ja</v>
      </c>
      <c r="BZ39" s="164">
        <f>IFERROR(VLOOKUP($BX39,$E$293:$H$326,F$291,FALSE),"")</f>
        <v>1</v>
      </c>
      <c r="CA39" s="672" t="s">
        <v>429</v>
      </c>
      <c r="CB39" s="164">
        <f>H298</f>
        <v>2</v>
      </c>
      <c r="CC39" s="96" t="str">
        <f t="shared" si="59"/>
        <v/>
      </c>
      <c r="CD39" s="681" t="s">
        <v>404</v>
      </c>
      <c r="CE39" s="167">
        <f t="shared" ref="CE39:CE55" si="75">VLOOKUP(CA39,$CA$4:$CB$5,2,FALSE)</f>
        <v>0</v>
      </c>
      <c r="CG39" s="681">
        <f>IF($BX$5=ais_nei,CE39,IF(CD39=$BY$5,IF(AND(CA39=$CA$4,BX39=$CC$4),0,BZ39),CE39))</f>
        <v>0</v>
      </c>
    </row>
    <row r="40" spans="1:87" x14ac:dyDescent="0.25">
      <c r="A40" s="96">
        <v>32</v>
      </c>
      <c r="B40" s="137"/>
      <c r="C40" s="96" t="str">
        <f t="shared" si="19"/>
        <v>Hea 01</v>
      </c>
      <c r="D40" s="833" t="s">
        <v>693</v>
      </c>
      <c r="E40" s="940" t="s">
        <v>1049</v>
      </c>
      <c r="F40" s="767"/>
      <c r="G40" s="767"/>
      <c r="H40" s="767"/>
      <c r="I40" s="767"/>
      <c r="J40" s="767"/>
      <c r="K40" s="767"/>
      <c r="L40" s="767"/>
      <c r="M40" s="767"/>
      <c r="N40" s="767"/>
      <c r="O40" s="767"/>
      <c r="P40" s="767"/>
      <c r="Q40" s="767"/>
      <c r="R40" s="767"/>
      <c r="T40" s="212">
        <f t="shared" si="66"/>
        <v>0</v>
      </c>
      <c r="U40" s="166"/>
      <c r="V40" s="167"/>
      <c r="W40" s="167"/>
      <c r="X40" s="168"/>
      <c r="Y40" s="169"/>
      <c r="Z40" s="1158"/>
      <c r="AA40" s="169">
        <f t="shared" si="68"/>
        <v>0</v>
      </c>
      <c r="AB40" s="170">
        <f>IF($AC$5='Manuell filtrering og justering'!$J$2,Z40,(T40-AA40))</f>
        <v>0</v>
      </c>
      <c r="AD40" s="171">
        <f t="shared" ref="AD40" si="76">(Hea_Weight/Hea_Credits)*AB40</f>
        <v>0</v>
      </c>
      <c r="AE40" s="171">
        <f t="shared" ref="AE40" si="77">IF(AB40=0,0,(AD40/AB40)*AI40)</f>
        <v>0</v>
      </c>
      <c r="AF40" s="171">
        <f t="shared" ref="AF40" si="78">IF(AB40=0,0,(AD40/AB40)*AJ40)</f>
        <v>0</v>
      </c>
      <c r="AG40" s="171">
        <f t="shared" ref="AG40" si="79">IF(AB40=0,0,(AD40/AB40)*AK40)</f>
        <v>0</v>
      </c>
      <c r="AI40" s="172"/>
      <c r="AJ40" s="172"/>
      <c r="AK40" s="172"/>
      <c r="AM40" s="291"/>
      <c r="AN40" s="181"/>
      <c r="AO40" s="304"/>
      <c r="AP40" s="293"/>
      <c r="AQ40" s="294"/>
      <c r="AS40" s="292"/>
      <c r="AT40" s="293"/>
      <c r="AU40" s="293"/>
      <c r="AV40" s="293"/>
      <c r="AW40" s="294"/>
      <c r="AY40" s="182"/>
      <c r="AZ40" s="183"/>
      <c r="BA40" s="183"/>
      <c r="BB40" s="183"/>
      <c r="BC40" s="176"/>
      <c r="BD40" s="687">
        <f t="shared" ref="BD40" si="80">IF(BC40=0,9,IF((AI40-CG40)&gt;=BC40,5,IF((AI40-CG40)&gt;=BB40,4,IF((AI40-CG40)&gt;=BA40,3,IF((AI40-CG40)&gt;=AZ40,2,IF((AI40-CG40)&lt;AY40,0,1))))))</f>
        <v>9</v>
      </c>
      <c r="BE40" s="164" t="str">
        <f t="shared" si="71"/>
        <v>N/A</v>
      </c>
      <c r="BF40" s="185"/>
      <c r="BG40" s="182">
        <f t="shared" ref="BG40" si="81">IF(BC40=0,9,IF((AJ40-CG40)&gt;=BC40,5,IF((AJ40-CG40)&gt;=BB40,4,IF((AJ40-CG40)&gt;=BA40,3,IF((AJ40-CG40)&gt;=AZ40,2,IF((AJ40-CG40)&lt;AY40,0,1))))))</f>
        <v>9</v>
      </c>
      <c r="BH40" s="164" t="str">
        <f t="shared" si="73"/>
        <v>N/A</v>
      </c>
      <c r="BI40" s="185"/>
      <c r="BJ40" s="182">
        <f t="shared" ref="BJ40" si="82">IF(BC40=0,9,IF((AK40-CG40)&gt;=BC40,5,IF((AK40-CG40)&gt;=BB40,4,IF((AK40-CG40)&gt;=BA40,3,IF((AK40-CG40)&gt;=AZ40,2,IF((AK40-CG40)&lt;AY40,0,1))))))</f>
        <v>9</v>
      </c>
      <c r="BK40" s="164" t="str">
        <f t="shared" si="74"/>
        <v>N/A</v>
      </c>
      <c r="BL40" s="185"/>
      <c r="BO40" s="167"/>
      <c r="BP40" s="167"/>
      <c r="BQ40" s="167" t="str">
        <f t="shared" si="15"/>
        <v/>
      </c>
      <c r="BR40" s="167">
        <f t="shared" si="55"/>
        <v>9</v>
      </c>
      <c r="BS40" s="167">
        <f t="shared" si="56"/>
        <v>9</v>
      </c>
      <c r="BT40" s="167">
        <f t="shared" si="57"/>
        <v>9</v>
      </c>
      <c r="BW40" s="674"/>
      <c r="BX40" s="164"/>
      <c r="BY40" s="674"/>
      <c r="BZ40" s="164"/>
      <c r="CA40" s="672"/>
      <c r="CB40" s="164"/>
      <c r="CD40" s="681"/>
      <c r="CE40" s="167"/>
      <c r="CG40" s="681"/>
    </row>
    <row r="41" spans="1:87" x14ac:dyDescent="0.25">
      <c r="A41" s="96">
        <v>33</v>
      </c>
      <c r="B41" s="96" t="str">
        <f t="shared" ref="B41:B45" si="83">$D$39&amp;D41</f>
        <v>Hea 01b</v>
      </c>
      <c r="C41" s="96" t="str">
        <f t="shared" si="19"/>
        <v>Hea 01</v>
      </c>
      <c r="D41" s="163" t="s">
        <v>696</v>
      </c>
      <c r="E41" s="1107" t="s">
        <v>603</v>
      </c>
      <c r="F41" s="939">
        <v>3</v>
      </c>
      <c r="G41" s="939">
        <v>3</v>
      </c>
      <c r="H41" s="939">
        <v>3</v>
      </c>
      <c r="I41" s="939">
        <v>3</v>
      </c>
      <c r="J41" s="939">
        <v>3</v>
      </c>
      <c r="K41" s="939">
        <v>3</v>
      </c>
      <c r="L41" s="939">
        <v>3</v>
      </c>
      <c r="M41" s="1278">
        <v>3</v>
      </c>
      <c r="N41" s="1278">
        <v>3</v>
      </c>
      <c r="O41" s="1278">
        <v>3</v>
      </c>
      <c r="P41" s="1278">
        <v>3</v>
      </c>
      <c r="Q41" s="1278">
        <v>3</v>
      </c>
      <c r="R41" s="1278">
        <v>3</v>
      </c>
      <c r="T41" s="212">
        <f t="shared" si="66"/>
        <v>3</v>
      </c>
      <c r="U41" s="166"/>
      <c r="V41" s="167"/>
      <c r="W41" s="167"/>
      <c r="X41" s="168"/>
      <c r="Y41" s="169"/>
      <c r="Z41" s="1158">
        <f>VLOOKUP(B41,'Manuell filtrering og justering'!$A$7:$H$107,'Manuell filtrering og justering'!$H$1,FALSE)</f>
        <v>3</v>
      </c>
      <c r="AA41" s="169">
        <f t="shared" si="68"/>
        <v>0</v>
      </c>
      <c r="AB41" s="170">
        <f>IF($AC$5='Manuell filtrering og justering'!$J$2,Z41,(T41-AA41))</f>
        <v>3</v>
      </c>
      <c r="AD41" s="171">
        <f t="shared" si="69"/>
        <v>2.5263157894736842E-2</v>
      </c>
      <c r="AE41" s="171">
        <f>IF(AB41=0,0,(AD41/AB41)*AI41)</f>
        <v>0</v>
      </c>
      <c r="AF41" s="171">
        <f>IF(AB41=0,0,(AD41/AB41)*AJ41)</f>
        <v>0</v>
      </c>
      <c r="AG41" s="171">
        <f>IF(AB41=0,0,(AD41/AB41)*AK41)</f>
        <v>0</v>
      </c>
      <c r="AI41" s="1067">
        <f>IF(AI$234=AD_no,0,IF(VLOOKUP(E41,'Pre-Assessment Estimator'!$E$11:$Z$226,'Pre-Assessment Estimator'!$G$2,FALSE)&gt;AB41,AB41,VLOOKUP(E41,'Pre-Assessment Estimator'!$E$11:$Z$226,'Pre-Assessment Estimator'!$G$2,FALSE)))</f>
        <v>0</v>
      </c>
      <c r="AJ41" s="1067">
        <f>IF($AJ$234=AD_no,0,IF(VLOOKUP(E41,'Pre-Assessment Estimator'!$E$11:$Z$226,'Pre-Assessment Estimator'!$N$2,FALSE)&gt;AB41,AB41,VLOOKUP(E41,'Pre-Assessment Estimator'!$E$11:$Z$226,'Pre-Assessment Estimator'!$N$2,FALSE)))</f>
        <v>0</v>
      </c>
      <c r="AK41" s="1067">
        <f>IF($AK$234=AD_no,0,IF(VLOOKUP(E41,'Pre-Assessment Estimator'!$E$11:$Z$226,'Pre-Assessment Estimator'!$U$2,FALSE)&gt;AB41,AB41,VLOOKUP(E41,'Pre-Assessment Estimator'!$E$11:$Z$226,'Pre-Assessment Estimator'!$U$2,FALSE)))</f>
        <v>0</v>
      </c>
      <c r="AM41" s="835"/>
      <c r="AN41" s="836"/>
      <c r="AO41" s="836"/>
      <c r="AP41" s="836"/>
      <c r="AQ41" s="837"/>
      <c r="AS41" s="835"/>
      <c r="AT41" s="836"/>
      <c r="AU41" s="836"/>
      <c r="AV41" s="836"/>
      <c r="AW41" s="837"/>
      <c r="AY41" s="708"/>
      <c r="AZ41" s="709"/>
      <c r="BA41" s="709"/>
      <c r="BB41" s="709"/>
      <c r="BC41" s="838"/>
      <c r="BD41" s="687">
        <f t="shared" ref="BD41:BD45" si="84">IF(BC41=0,9,IF((AI41-CG41)&gt;=BC41,5,IF((AI41-CG41)&gt;=BB41,4,IF((AI41-CG41)&gt;=BA41,3,IF((AI41-CG41)&gt;=AZ41,2,IF((AI41-CG41)&lt;AY41,0,1))))))</f>
        <v>9</v>
      </c>
      <c r="BE41" s="164" t="str">
        <f t="shared" si="71"/>
        <v>N/A</v>
      </c>
      <c r="BF41" s="185"/>
      <c r="BG41" s="182">
        <f t="shared" ref="BG41:BG45" si="85">IF(BC41=0,9,IF((AJ41-CG41)&gt;=BC41,5,IF((AJ41-CG41)&gt;=BB41,4,IF((AJ41-CG41)&gt;=BA41,3,IF((AJ41-CG41)&gt;=AZ41,2,IF((AJ41-CG41)&lt;AY41,0,1))))))</f>
        <v>9</v>
      </c>
      <c r="BH41" s="164" t="str">
        <f t="shared" si="73"/>
        <v>N/A</v>
      </c>
      <c r="BI41" s="185"/>
      <c r="BJ41" s="182">
        <f t="shared" ref="BJ41:BJ45" si="86">IF(BC41=0,9,IF((AK41-CG41)&gt;=BC41,5,IF((AK41-CG41)&gt;=BB41,4,IF((AK41-CG41)&gt;=BA41,3,IF((AK41-CG41)&gt;=AZ41,2,IF((AK41-CG41)&lt;AY41,0,1))))))</f>
        <v>9</v>
      </c>
      <c r="BK41" s="164" t="str">
        <f t="shared" si="74"/>
        <v>N/A</v>
      </c>
      <c r="BL41" s="830"/>
      <c r="BO41" s="167"/>
      <c r="BP41" s="167"/>
      <c r="BQ41" s="167" t="str">
        <f t="shared" si="15"/>
        <v/>
      </c>
      <c r="BR41" s="167">
        <f t="shared" si="55"/>
        <v>9</v>
      </c>
      <c r="BS41" s="167">
        <f t="shared" si="56"/>
        <v>9</v>
      </c>
      <c r="BT41" s="167">
        <f t="shared" si="57"/>
        <v>9</v>
      </c>
      <c r="BW41" s="674"/>
      <c r="BX41" s="164"/>
      <c r="BY41" s="674"/>
      <c r="BZ41" s="164"/>
      <c r="CA41" s="672"/>
      <c r="CB41" s="164"/>
      <c r="CD41" s="681"/>
      <c r="CE41" s="167"/>
      <c r="CG41" s="681"/>
    </row>
    <row r="42" spans="1:87" x14ac:dyDescent="0.25">
      <c r="A42" s="96">
        <v>34</v>
      </c>
      <c r="B42" s="96" t="str">
        <f t="shared" si="83"/>
        <v>Hea 01c</v>
      </c>
      <c r="C42" s="96" t="str">
        <f t="shared" si="19"/>
        <v>Hea 01</v>
      </c>
      <c r="D42" s="163" t="s">
        <v>697</v>
      </c>
      <c r="E42" s="1107" t="s">
        <v>604</v>
      </c>
      <c r="F42" s="939">
        <v>1</v>
      </c>
      <c r="G42" s="939">
        <v>1</v>
      </c>
      <c r="H42" s="1022">
        <v>0</v>
      </c>
      <c r="I42" s="939">
        <v>1</v>
      </c>
      <c r="J42" s="939">
        <v>1</v>
      </c>
      <c r="K42" s="939">
        <v>1</v>
      </c>
      <c r="L42" s="939">
        <v>1</v>
      </c>
      <c r="M42" s="939">
        <v>1</v>
      </c>
      <c r="N42" s="939">
        <v>1</v>
      </c>
      <c r="O42" s="939">
        <v>1</v>
      </c>
      <c r="P42" s="939">
        <v>1</v>
      </c>
      <c r="Q42" s="1278">
        <v>1</v>
      </c>
      <c r="R42" s="939">
        <v>1</v>
      </c>
      <c r="T42" s="212">
        <f t="shared" si="66"/>
        <v>1</v>
      </c>
      <c r="U42" s="166"/>
      <c r="V42" s="167"/>
      <c r="W42" s="167"/>
      <c r="X42" s="168"/>
      <c r="Y42" s="169">
        <f>IF(OR($Y$4=$Y$5,$Y$4=$Y$6),T42,0)</f>
        <v>0</v>
      </c>
      <c r="Z42" s="1158">
        <f>VLOOKUP(B42,'Manuell filtrering og justering'!$A$7:$H$107,'Manuell filtrering og justering'!$H$1,FALSE)</f>
        <v>1</v>
      </c>
      <c r="AA42" s="169">
        <f t="shared" si="68"/>
        <v>0</v>
      </c>
      <c r="AB42" s="170">
        <f>IF($AC$5='Manuell filtrering og justering'!$J$2,Z42,(T42-AA42))</f>
        <v>1</v>
      </c>
      <c r="AD42" s="171">
        <f t="shared" si="69"/>
        <v>8.4210526315789472E-3</v>
      </c>
      <c r="AE42" s="171">
        <f t="shared" ref="AE42:AE64" si="87">IF(AB42=0,0,(AD42/AB42)*AI42)</f>
        <v>0</v>
      </c>
      <c r="AF42" s="171">
        <f t="shared" ref="AF42:AF64" si="88">IF(AB42=0,0,(AD42/AB42)*AJ42)</f>
        <v>0</v>
      </c>
      <c r="AG42" s="171">
        <f t="shared" ref="AG42:AG64" si="89">IF(AB42=0,0,(AD42/AB42)*AK42)</f>
        <v>0</v>
      </c>
      <c r="AI42" s="1067">
        <f>IF(AI$234=AD_no,0,IF(VLOOKUP(E42,'Pre-Assessment Estimator'!$E$11:$Z$226,'Pre-Assessment Estimator'!$G$2,FALSE)&gt;AB42,AB42,VLOOKUP(E42,'Pre-Assessment Estimator'!$E$11:$Z$226,'Pre-Assessment Estimator'!$G$2,FALSE)))</f>
        <v>0</v>
      </c>
      <c r="AJ42" s="1067">
        <f>IF($AJ$234=AD_no,0,IF(VLOOKUP(E42,'Pre-Assessment Estimator'!$E$11:$Z$226,'Pre-Assessment Estimator'!$N$2,FALSE)&gt;AB42,AB42,VLOOKUP(E42,'Pre-Assessment Estimator'!$E$11:$Z$226,'Pre-Assessment Estimator'!$N$2,FALSE)))</f>
        <v>0</v>
      </c>
      <c r="AK42" s="1067">
        <f>IF($AK$234=AD_no,0,IF(VLOOKUP(E42,'Pre-Assessment Estimator'!$E$11:$Z$226,'Pre-Assessment Estimator'!$U$2,FALSE)&gt;AB42,AB42,VLOOKUP(E42,'Pre-Assessment Estimator'!$E$11:$Z$226,'Pre-Assessment Estimator'!$U$2,FALSE)))</f>
        <v>0</v>
      </c>
      <c r="AM42" s="835"/>
      <c r="AN42" s="836"/>
      <c r="AO42" s="836"/>
      <c r="AP42" s="836"/>
      <c r="AQ42" s="837"/>
      <c r="AS42" s="835"/>
      <c r="AT42" s="836"/>
      <c r="AU42" s="836"/>
      <c r="AV42" s="836"/>
      <c r="AW42" s="837"/>
      <c r="AY42" s="708"/>
      <c r="AZ42" s="709"/>
      <c r="BA42" s="709"/>
      <c r="BB42" s="709"/>
      <c r="BC42" s="838"/>
      <c r="BD42" s="687">
        <f t="shared" si="84"/>
        <v>9</v>
      </c>
      <c r="BE42" s="164" t="str">
        <f t="shared" si="71"/>
        <v>N/A</v>
      </c>
      <c r="BF42" s="185"/>
      <c r="BG42" s="182">
        <f t="shared" si="85"/>
        <v>9</v>
      </c>
      <c r="BH42" s="164" t="str">
        <f t="shared" si="73"/>
        <v>N/A</v>
      </c>
      <c r="BI42" s="185"/>
      <c r="BJ42" s="182">
        <f t="shared" si="86"/>
        <v>9</v>
      </c>
      <c r="BK42" s="164" t="str">
        <f t="shared" si="74"/>
        <v>N/A</v>
      </c>
      <c r="BL42" s="830"/>
      <c r="BO42" s="167"/>
      <c r="BP42" s="167"/>
      <c r="BQ42" s="167" t="str">
        <f t="shared" si="15"/>
        <v/>
      </c>
      <c r="BR42" s="167">
        <f t="shared" si="55"/>
        <v>9</v>
      </c>
      <c r="BS42" s="167">
        <f t="shared" si="56"/>
        <v>9</v>
      </c>
      <c r="BT42" s="167">
        <f t="shared" si="57"/>
        <v>9</v>
      </c>
      <c r="BW42" s="674"/>
      <c r="BX42" s="164"/>
      <c r="BY42" s="674"/>
      <c r="BZ42" s="164"/>
      <c r="CA42" s="672"/>
      <c r="CB42" s="164"/>
      <c r="CD42" s="681"/>
      <c r="CE42" s="167"/>
      <c r="CG42" s="681"/>
    </row>
    <row r="43" spans="1:87" x14ac:dyDescent="0.25">
      <c r="A43" s="96">
        <v>35</v>
      </c>
      <c r="B43" s="96" t="str">
        <f t="shared" si="83"/>
        <v>Hea 01d</v>
      </c>
      <c r="C43" s="96" t="str">
        <f t="shared" si="19"/>
        <v>Hea 01</v>
      </c>
      <c r="D43" s="163" t="s">
        <v>695</v>
      </c>
      <c r="E43" s="1107" t="s">
        <v>605</v>
      </c>
      <c r="F43" s="939">
        <v>1</v>
      </c>
      <c r="G43" s="939">
        <v>1</v>
      </c>
      <c r="H43" s="939">
        <v>1</v>
      </c>
      <c r="I43" s="939">
        <v>1</v>
      </c>
      <c r="J43" s="939">
        <v>1</v>
      </c>
      <c r="K43" s="939">
        <v>1</v>
      </c>
      <c r="L43" s="939">
        <v>1</v>
      </c>
      <c r="M43" s="1278">
        <v>1</v>
      </c>
      <c r="N43" s="1278">
        <v>1</v>
      </c>
      <c r="O43" s="1278">
        <v>1</v>
      </c>
      <c r="P43" s="1278">
        <v>1</v>
      </c>
      <c r="Q43" s="1278">
        <v>1</v>
      </c>
      <c r="R43" s="1278">
        <v>1</v>
      </c>
      <c r="T43" s="212">
        <f t="shared" si="66"/>
        <v>1</v>
      </c>
      <c r="U43" s="166"/>
      <c r="V43" s="167"/>
      <c r="W43" s="167"/>
      <c r="X43" s="168"/>
      <c r="Y43" s="169"/>
      <c r="Z43" s="1158">
        <f>VLOOKUP(B43,'Manuell filtrering og justering'!$A$7:$H$107,'Manuell filtrering og justering'!$H$1,FALSE)</f>
        <v>1</v>
      </c>
      <c r="AA43" s="169">
        <f t="shared" si="68"/>
        <v>0</v>
      </c>
      <c r="AB43" s="170">
        <f>IF($AC$5='Manuell filtrering og justering'!$J$2,Z43,(T43-AA43))</f>
        <v>1</v>
      </c>
      <c r="AD43" s="171">
        <f t="shared" si="69"/>
        <v>8.4210526315789472E-3</v>
      </c>
      <c r="AE43" s="171">
        <f t="shared" si="87"/>
        <v>0</v>
      </c>
      <c r="AF43" s="171">
        <f t="shared" si="88"/>
        <v>0</v>
      </c>
      <c r="AG43" s="171">
        <f t="shared" si="89"/>
        <v>0</v>
      </c>
      <c r="AI43" s="1067">
        <f>IF(AI$234=AD_no,0,IF(VLOOKUP(E43,'Pre-Assessment Estimator'!$E$11:$Z$226,'Pre-Assessment Estimator'!$G$2,FALSE)&gt;AB43,AB43,VLOOKUP(E43,'Pre-Assessment Estimator'!$E$11:$Z$226,'Pre-Assessment Estimator'!$G$2,FALSE)))</f>
        <v>0</v>
      </c>
      <c r="AJ43" s="1067">
        <f>IF($AJ$234=AD_no,0,IF(VLOOKUP(E43,'Pre-Assessment Estimator'!$E$11:$Z$226,'Pre-Assessment Estimator'!$N$2,FALSE)&gt;AB43,AB43,VLOOKUP(E43,'Pre-Assessment Estimator'!$E$11:$Z$226,'Pre-Assessment Estimator'!$N$2,FALSE)))</f>
        <v>0</v>
      </c>
      <c r="AK43" s="1067">
        <f>IF($AK$234=AD_no,0,IF(VLOOKUP(E43,'Pre-Assessment Estimator'!$E$11:$Z$226,'Pre-Assessment Estimator'!$U$2,FALSE)&gt;AB43,AB43,VLOOKUP(E43,'Pre-Assessment Estimator'!$E$11:$Z$226,'Pre-Assessment Estimator'!$U$2,FALSE)))</f>
        <v>0</v>
      </c>
      <c r="AM43" s="835"/>
      <c r="AN43" s="836"/>
      <c r="AO43" s="836"/>
      <c r="AP43" s="836"/>
      <c r="AQ43" s="837"/>
      <c r="AS43" s="835"/>
      <c r="AT43" s="836"/>
      <c r="AU43" s="836"/>
      <c r="AV43" s="836"/>
      <c r="AW43" s="837"/>
      <c r="AY43" s="708"/>
      <c r="AZ43" s="709"/>
      <c r="BA43" s="709"/>
      <c r="BB43" s="709"/>
      <c r="BC43" s="838"/>
      <c r="BD43" s="687">
        <f t="shared" si="84"/>
        <v>9</v>
      </c>
      <c r="BE43" s="164" t="str">
        <f t="shared" si="71"/>
        <v>N/A</v>
      </c>
      <c r="BF43" s="185"/>
      <c r="BG43" s="182">
        <f t="shared" si="85"/>
        <v>9</v>
      </c>
      <c r="BH43" s="164" t="str">
        <f t="shared" si="73"/>
        <v>N/A</v>
      </c>
      <c r="BI43" s="185"/>
      <c r="BJ43" s="182">
        <f t="shared" si="86"/>
        <v>9</v>
      </c>
      <c r="BK43" s="164" t="str">
        <f t="shared" si="74"/>
        <v>N/A</v>
      </c>
      <c r="BL43" s="830"/>
      <c r="BO43" s="167"/>
      <c r="BP43" s="167"/>
      <c r="BQ43" s="167" t="str">
        <f t="shared" si="15"/>
        <v/>
      </c>
      <c r="BR43" s="167">
        <f t="shared" si="55"/>
        <v>9</v>
      </c>
      <c r="BS43" s="167">
        <f t="shared" si="56"/>
        <v>9</v>
      </c>
      <c r="BT43" s="167">
        <f t="shared" si="57"/>
        <v>9</v>
      </c>
      <c r="BW43" s="674"/>
      <c r="BX43" s="164"/>
      <c r="BY43" s="674"/>
      <c r="BZ43" s="164"/>
      <c r="CA43" s="672"/>
      <c r="CB43" s="164"/>
      <c r="CD43" s="681"/>
      <c r="CE43" s="167"/>
      <c r="CG43" s="681"/>
    </row>
    <row r="44" spans="1:87" x14ac:dyDescent="0.25">
      <c r="A44" s="96">
        <v>36</v>
      </c>
      <c r="B44" s="96" t="str">
        <f t="shared" si="83"/>
        <v>Hea 01e</v>
      </c>
      <c r="C44" s="96" t="str">
        <f t="shared" si="19"/>
        <v>Hea 01</v>
      </c>
      <c r="D44" s="163" t="s">
        <v>694</v>
      </c>
      <c r="E44" s="1107" t="s">
        <v>606</v>
      </c>
      <c r="F44" s="939">
        <v>1</v>
      </c>
      <c r="G44" s="939">
        <v>1</v>
      </c>
      <c r="H44" s="939">
        <v>1</v>
      </c>
      <c r="I44" s="939">
        <v>1</v>
      </c>
      <c r="J44" s="939">
        <v>1</v>
      </c>
      <c r="K44" s="939">
        <v>1</v>
      </c>
      <c r="L44" s="939">
        <v>1</v>
      </c>
      <c r="M44" s="1278">
        <v>1</v>
      </c>
      <c r="N44" s="1278">
        <v>1</v>
      </c>
      <c r="O44" s="1278">
        <v>1</v>
      </c>
      <c r="P44" s="1278">
        <v>1</v>
      </c>
      <c r="Q44" s="1278">
        <v>1</v>
      </c>
      <c r="R44" s="1278">
        <v>1</v>
      </c>
      <c r="T44" s="212">
        <f t="shared" si="66"/>
        <v>1</v>
      </c>
      <c r="U44" s="166"/>
      <c r="V44" s="167"/>
      <c r="W44" s="167"/>
      <c r="X44" s="168"/>
      <c r="Y44" s="169"/>
      <c r="Z44" s="1158">
        <f>VLOOKUP(B44,'Manuell filtrering og justering'!$A$7:$H$107,'Manuell filtrering og justering'!$H$1,FALSE)</f>
        <v>1</v>
      </c>
      <c r="AA44" s="169">
        <f t="shared" si="68"/>
        <v>0</v>
      </c>
      <c r="AB44" s="170">
        <f>IF($AC$5='Manuell filtrering og justering'!$J$2,Z44,(T44-AA44))</f>
        <v>1</v>
      </c>
      <c r="AD44" s="171">
        <f t="shared" si="69"/>
        <v>8.4210526315789472E-3</v>
      </c>
      <c r="AE44" s="171">
        <f t="shared" si="87"/>
        <v>0</v>
      </c>
      <c r="AF44" s="171">
        <f t="shared" si="88"/>
        <v>0</v>
      </c>
      <c r="AG44" s="171">
        <f t="shared" si="89"/>
        <v>0</v>
      </c>
      <c r="AI44" s="1067">
        <f>IF(AI$234=AD_no,0,IF(VLOOKUP(E44,'Pre-Assessment Estimator'!$E$11:$Z$226,'Pre-Assessment Estimator'!$G$2,FALSE)&gt;AB44,AB44,VLOOKUP(E44,'Pre-Assessment Estimator'!$E$11:$Z$226,'Pre-Assessment Estimator'!$G$2,FALSE)))</f>
        <v>0</v>
      </c>
      <c r="AJ44" s="1067">
        <f>IF($AJ$234=AD_no,0,IF(VLOOKUP(E44,'Pre-Assessment Estimator'!$E$11:$Z$226,'Pre-Assessment Estimator'!$N$2,FALSE)&gt;AB44,AB44,VLOOKUP(E44,'Pre-Assessment Estimator'!$E$11:$Z$226,'Pre-Assessment Estimator'!$N$2,FALSE)))</f>
        <v>0</v>
      </c>
      <c r="AK44" s="1067">
        <f>IF($AK$234=AD_no,0,IF(VLOOKUP(E44,'Pre-Assessment Estimator'!$E$11:$Z$226,'Pre-Assessment Estimator'!$U$2,FALSE)&gt;AB44,AB44,VLOOKUP(E44,'Pre-Assessment Estimator'!$E$11:$Z$226,'Pre-Assessment Estimator'!$U$2,FALSE)))</f>
        <v>0</v>
      </c>
      <c r="AM44" s="835"/>
      <c r="AN44" s="836"/>
      <c r="AO44" s="836"/>
      <c r="AP44" s="836"/>
      <c r="AQ44" s="837"/>
      <c r="AS44" s="835"/>
      <c r="AT44" s="836"/>
      <c r="AU44" s="836"/>
      <c r="AV44" s="836"/>
      <c r="AW44" s="837"/>
      <c r="AY44" s="708"/>
      <c r="AZ44" s="709"/>
      <c r="BA44" s="709"/>
      <c r="BB44" s="709"/>
      <c r="BC44" s="838"/>
      <c r="BD44" s="687">
        <f t="shared" si="84"/>
        <v>9</v>
      </c>
      <c r="BE44" s="164" t="str">
        <f t="shared" si="71"/>
        <v>N/A</v>
      </c>
      <c r="BF44" s="185"/>
      <c r="BG44" s="182">
        <f t="shared" si="85"/>
        <v>9</v>
      </c>
      <c r="BH44" s="164" t="str">
        <f t="shared" si="73"/>
        <v>N/A</v>
      </c>
      <c r="BI44" s="185"/>
      <c r="BJ44" s="182">
        <f t="shared" si="86"/>
        <v>9</v>
      </c>
      <c r="BK44" s="164" t="str">
        <f t="shared" si="74"/>
        <v>N/A</v>
      </c>
      <c r="BL44" s="830"/>
      <c r="BO44" s="167"/>
      <c r="BP44" s="167"/>
      <c r="BQ44" s="167" t="str">
        <f t="shared" si="15"/>
        <v/>
      </c>
      <c r="BR44" s="167">
        <f t="shared" si="55"/>
        <v>9</v>
      </c>
      <c r="BS44" s="167">
        <f t="shared" si="56"/>
        <v>9</v>
      </c>
      <c r="BT44" s="167">
        <f t="shared" si="57"/>
        <v>9</v>
      </c>
      <c r="BW44" s="674"/>
      <c r="BX44" s="164"/>
      <c r="BY44" s="674"/>
      <c r="BZ44" s="164"/>
      <c r="CA44" s="672"/>
      <c r="CB44" s="164"/>
      <c r="CD44" s="681"/>
      <c r="CE44" s="167"/>
      <c r="CG44" s="681"/>
    </row>
    <row r="45" spans="1:87" x14ac:dyDescent="0.25">
      <c r="A45" s="96">
        <v>37</v>
      </c>
      <c r="B45" s="96" t="str">
        <f t="shared" si="83"/>
        <v>Hea 01f</v>
      </c>
      <c r="C45" s="96" t="str">
        <f t="shared" si="19"/>
        <v>Hea 01</v>
      </c>
      <c r="D45" s="163" t="s">
        <v>909</v>
      </c>
      <c r="E45" s="1107" t="s">
        <v>607</v>
      </c>
      <c r="F45" s="939">
        <v>1</v>
      </c>
      <c r="G45" s="939">
        <v>1</v>
      </c>
      <c r="H45" s="1022">
        <v>0</v>
      </c>
      <c r="I45" s="939">
        <v>1</v>
      </c>
      <c r="J45" s="939">
        <v>1</v>
      </c>
      <c r="K45" s="939">
        <v>1</v>
      </c>
      <c r="L45" s="939">
        <v>1</v>
      </c>
      <c r="M45" s="939">
        <v>1</v>
      </c>
      <c r="N45" s="939">
        <v>1</v>
      </c>
      <c r="O45" s="939">
        <v>1</v>
      </c>
      <c r="P45" s="939">
        <v>1</v>
      </c>
      <c r="Q45" s="1278">
        <v>1</v>
      </c>
      <c r="R45" s="939">
        <v>1</v>
      </c>
      <c r="T45" s="212">
        <f t="shared" si="66"/>
        <v>1</v>
      </c>
      <c r="U45" s="166"/>
      <c r="V45" s="167"/>
      <c r="W45" s="167"/>
      <c r="X45" s="168"/>
      <c r="Y45" s="169"/>
      <c r="Z45" s="1158">
        <f>VLOOKUP(B45,'Manuell filtrering og justering'!$A$7:$H$107,'Manuell filtrering og justering'!$H$1,FALSE)</f>
        <v>1</v>
      </c>
      <c r="AA45" s="169">
        <f t="shared" si="68"/>
        <v>0</v>
      </c>
      <c r="AB45" s="170">
        <f>IF($AC$5='Manuell filtrering og justering'!$J$2,Z45,(T45-AA45))</f>
        <v>1</v>
      </c>
      <c r="AD45" s="171">
        <f t="shared" si="69"/>
        <v>8.4210526315789472E-3</v>
      </c>
      <c r="AE45" s="171">
        <f t="shared" si="87"/>
        <v>0</v>
      </c>
      <c r="AF45" s="171">
        <f t="shared" si="88"/>
        <v>0</v>
      </c>
      <c r="AG45" s="171">
        <f t="shared" si="89"/>
        <v>0</v>
      </c>
      <c r="AI45" s="1067">
        <f>IF(AI$234=AD_no,0,IF(VLOOKUP(E45,'Pre-Assessment Estimator'!$E$11:$Z$226,'Pre-Assessment Estimator'!$G$2,FALSE)&gt;AB45,AB45,VLOOKUP(E45,'Pre-Assessment Estimator'!$E$11:$Z$226,'Pre-Assessment Estimator'!$G$2,FALSE)))</f>
        <v>0</v>
      </c>
      <c r="AJ45" s="1067">
        <f>IF($AJ$234=AD_no,0,IF(VLOOKUP(E45,'Pre-Assessment Estimator'!$E$11:$Z$226,'Pre-Assessment Estimator'!$N$2,FALSE)&gt;AB45,AB45,VLOOKUP(E45,'Pre-Assessment Estimator'!$E$11:$Z$226,'Pre-Assessment Estimator'!$N$2,FALSE)))</f>
        <v>0</v>
      </c>
      <c r="AK45" s="1067">
        <f>IF($AK$234=AD_no,0,IF(VLOOKUP(E45,'Pre-Assessment Estimator'!$E$11:$Z$226,'Pre-Assessment Estimator'!$U$2,FALSE)&gt;AB45,AB45,VLOOKUP(E45,'Pre-Assessment Estimator'!$E$11:$Z$226,'Pre-Assessment Estimator'!$U$2,FALSE)))</f>
        <v>0</v>
      </c>
      <c r="AM45" s="835"/>
      <c r="AN45" s="836"/>
      <c r="AO45" s="836"/>
      <c r="AP45" s="836"/>
      <c r="AQ45" s="837"/>
      <c r="AS45" s="835"/>
      <c r="AT45" s="836"/>
      <c r="AU45" s="836"/>
      <c r="AV45" s="836"/>
      <c r="AW45" s="837"/>
      <c r="AY45" s="708"/>
      <c r="AZ45" s="709"/>
      <c r="BA45" s="709"/>
      <c r="BB45" s="709"/>
      <c r="BC45" s="838"/>
      <c r="BD45" s="687">
        <f t="shared" si="84"/>
        <v>9</v>
      </c>
      <c r="BE45" s="164" t="str">
        <f t="shared" si="71"/>
        <v>N/A</v>
      </c>
      <c r="BF45" s="185"/>
      <c r="BG45" s="182">
        <f t="shared" si="85"/>
        <v>9</v>
      </c>
      <c r="BH45" s="164" t="str">
        <f t="shared" si="73"/>
        <v>N/A</v>
      </c>
      <c r="BI45" s="185"/>
      <c r="BJ45" s="182">
        <f t="shared" si="86"/>
        <v>9</v>
      </c>
      <c r="BK45" s="164" t="str">
        <f t="shared" si="74"/>
        <v>N/A</v>
      </c>
      <c r="BL45" s="830"/>
      <c r="BO45" s="167"/>
      <c r="BP45" s="167"/>
      <c r="BQ45" s="167" t="str">
        <f t="shared" si="15"/>
        <v/>
      </c>
      <c r="BR45" s="167">
        <f t="shared" si="55"/>
        <v>9</v>
      </c>
      <c r="BS45" s="167">
        <f t="shared" si="56"/>
        <v>9</v>
      </c>
      <c r="BT45" s="167">
        <f t="shared" si="57"/>
        <v>9</v>
      </c>
      <c r="BW45" s="674"/>
      <c r="BX45" s="164"/>
      <c r="BY45" s="674"/>
      <c r="BZ45" s="164"/>
      <c r="CA45" s="672"/>
      <c r="CB45" s="164"/>
      <c r="CD45" s="681"/>
      <c r="CE45" s="167"/>
      <c r="CG45" s="681"/>
    </row>
    <row r="46" spans="1:87" x14ac:dyDescent="0.25">
      <c r="A46" s="96">
        <v>38</v>
      </c>
      <c r="B46" s="137" t="str">
        <f>D46</f>
        <v>Hea 02</v>
      </c>
      <c r="C46" s="137" t="str">
        <f>B46</f>
        <v>Hea 02</v>
      </c>
      <c r="D46" s="834" t="s">
        <v>118</v>
      </c>
      <c r="E46" s="832" t="s">
        <v>112</v>
      </c>
      <c r="F46" s="933">
        <f t="shared" ref="F46:R46" si="90">SUM(F47:F50)</f>
        <v>4</v>
      </c>
      <c r="G46" s="933">
        <f t="shared" si="90"/>
        <v>4</v>
      </c>
      <c r="H46" s="933">
        <f t="shared" si="90"/>
        <v>4</v>
      </c>
      <c r="I46" s="933">
        <f t="shared" si="90"/>
        <v>4</v>
      </c>
      <c r="J46" s="933">
        <f t="shared" si="90"/>
        <v>4</v>
      </c>
      <c r="K46" s="933">
        <f t="shared" si="90"/>
        <v>4</v>
      </c>
      <c r="L46" s="933">
        <f t="shared" si="90"/>
        <v>4</v>
      </c>
      <c r="M46" s="933">
        <f t="shared" si="90"/>
        <v>4</v>
      </c>
      <c r="N46" s="933">
        <f t="shared" si="90"/>
        <v>4</v>
      </c>
      <c r="O46" s="933">
        <f t="shared" si="90"/>
        <v>4</v>
      </c>
      <c r="P46" s="933">
        <f t="shared" si="90"/>
        <v>4</v>
      </c>
      <c r="Q46" s="933">
        <f t="shared" ref="Q46" si="91">SUM(Q47:Q50)</f>
        <v>4</v>
      </c>
      <c r="R46" s="933">
        <f t="shared" si="90"/>
        <v>4</v>
      </c>
      <c r="T46" s="961">
        <f t="shared" si="66"/>
        <v>4</v>
      </c>
      <c r="U46" s="222">
        <f>U48+U49+U50</f>
        <v>0</v>
      </c>
      <c r="V46" s="230"/>
      <c r="W46" s="230"/>
      <c r="X46" s="1098">
        <f>'Manuell filtrering og justering'!E18</f>
        <v>0</v>
      </c>
      <c r="Y46" s="963"/>
      <c r="Z46" s="1177">
        <f t="shared" ref="Z46" si="92">SUM(Z47:Z50)</f>
        <v>4</v>
      </c>
      <c r="AA46" s="963">
        <f t="shared" si="68"/>
        <v>0</v>
      </c>
      <c r="AB46" s="1066">
        <f>SUM(AB47:AB50)</f>
        <v>4</v>
      </c>
      <c r="AD46" s="171">
        <f t="shared" si="69"/>
        <v>3.3684210526315789E-2</v>
      </c>
      <c r="AE46" s="921">
        <f>SUM(AE47:AE50)</f>
        <v>0</v>
      </c>
      <c r="AF46" s="921">
        <f t="shared" ref="AF46:AG46" si="93">SUM(AF47:AF50)</f>
        <v>0</v>
      </c>
      <c r="AG46" s="921">
        <f t="shared" si="93"/>
        <v>0</v>
      </c>
      <c r="AI46" s="958">
        <f t="shared" ref="AI46:AK46" si="94">SUM(AI47:AI50)</f>
        <v>0</v>
      </c>
      <c r="AJ46" s="958">
        <f t="shared" si="94"/>
        <v>0</v>
      </c>
      <c r="AK46" s="958">
        <f t="shared" si="94"/>
        <v>0</v>
      </c>
      <c r="AL46" s="96" t="s">
        <v>426</v>
      </c>
      <c r="AM46" s="291"/>
      <c r="AN46" s="181"/>
      <c r="AO46" s="304"/>
      <c r="AP46" s="293"/>
      <c r="AQ46" s="294"/>
      <c r="AS46" s="292"/>
      <c r="AT46" s="293"/>
      <c r="AU46" s="293"/>
      <c r="AV46" s="293"/>
      <c r="AW46" s="294"/>
      <c r="AY46" s="182"/>
      <c r="AZ46" s="183"/>
      <c r="BA46" s="183"/>
      <c r="BB46" s="183"/>
      <c r="BC46" s="176"/>
      <c r="BD46" s="687">
        <f>IF(BC46=0,9,IF((AI46-CG46)&gt;=BC46,5,IF((AI46-CG46)&gt;=BB46,4,IF((AI46-CG46)&gt;=BA46,3,IF((AI46-CG46)&gt;=AZ46,2,IF((AI46-CG46)&lt;AY46,0,1))))))</f>
        <v>9</v>
      </c>
      <c r="BE46" s="164" t="str">
        <f t="shared" si="71"/>
        <v>N/A</v>
      </c>
      <c r="BF46" s="185"/>
      <c r="BG46" s="182">
        <f>IF(BC46=0,9,IF((AJ46-CG46)&gt;=BC46,5,IF((AJ46-CG46)&gt;=BB46,4,IF((AJ46-CG46)&gt;=BA46,3,IF((AJ46-CG46)&gt;=AZ46,2,IF((AJ46-CG46)&lt;AY46,0,1))))))</f>
        <v>9</v>
      </c>
      <c r="BH46" s="164" t="str">
        <f t="shared" si="73"/>
        <v>N/A</v>
      </c>
      <c r="BI46" s="185"/>
      <c r="BJ46" s="182">
        <f>IF(BC46=0,9,IF((AK46-CG46)&gt;=BC46,5,IF((AK46-CG46)&gt;=BB46,4,IF((AK46-CG46)&gt;=BA46,3,IF((AK46-CG46)&gt;=AZ46,2,IF((AK46-CG46)&lt;AY46,0,1))))))</f>
        <v>9</v>
      </c>
      <c r="BK46" s="164" t="str">
        <f t="shared" si="74"/>
        <v>N/A</v>
      </c>
      <c r="BL46" s="185"/>
      <c r="BM46" s="96" t="s">
        <v>459</v>
      </c>
      <c r="BO46" s="167"/>
      <c r="BP46" s="167"/>
      <c r="BQ46" s="167" t="str">
        <f t="shared" si="15"/>
        <v/>
      </c>
      <c r="BR46" s="167">
        <f t="shared" si="55"/>
        <v>9</v>
      </c>
      <c r="BS46" s="167">
        <f t="shared" si="56"/>
        <v>9</v>
      </c>
      <c r="BT46" s="167">
        <f t="shared" si="57"/>
        <v>9</v>
      </c>
      <c r="BW46" s="167" t="str">
        <f>D46</f>
        <v>Hea 02</v>
      </c>
      <c r="BX46" s="167" t="str">
        <f>IFERROR(VLOOKUP($E46,'Pre-Assessment Estimator'!$E$11:$AB$226,'Pre-Assessment Estimator'!AB$2,FALSE),"")</f>
        <v>O2: VOC (AC 8-9: -1,0 c)</v>
      </c>
      <c r="BY46" s="230" t="str">
        <f>IFERROR(VLOOKUP($E46,'Pre-Assessment Estimator'!$E$11:$AI$226,'Pre-Assessment Estimator'!AI$2,FALSE),"")</f>
        <v>Ja</v>
      </c>
      <c r="BZ46" s="167">
        <f>IFERROR(VLOOKUP($BX46,$E$293:$H$326,F$291,FALSE),"")</f>
        <v>-1</v>
      </c>
      <c r="CA46" s="672" t="s">
        <v>429</v>
      </c>
      <c r="CB46" s="167">
        <f>H303</f>
        <v>5</v>
      </c>
      <c r="CC46" s="96" t="s">
        <v>430</v>
      </c>
      <c r="CD46" s="96" t="s">
        <v>437</v>
      </c>
      <c r="CE46" s="167">
        <f t="shared" si="75"/>
        <v>0</v>
      </c>
      <c r="CG46" s="681">
        <f>IF($BX$5=ais_nei,CE46,IF(AND(CA46=$CA$4,BX46=$CC$4),0,BZ46))</f>
        <v>0</v>
      </c>
      <c r="CI46" s="96" t="s">
        <v>404</v>
      </c>
    </row>
    <row r="47" spans="1:87" x14ac:dyDescent="0.25">
      <c r="A47" s="96">
        <v>39</v>
      </c>
      <c r="C47" s="96" t="str">
        <f t="shared" si="19"/>
        <v>Hea 02</v>
      </c>
      <c r="D47" s="163" t="s">
        <v>693</v>
      </c>
      <c r="E47" s="940" t="s">
        <v>1075</v>
      </c>
      <c r="F47" s="767"/>
      <c r="G47" s="767"/>
      <c r="H47" s="767"/>
      <c r="I47" s="767"/>
      <c r="J47" s="767"/>
      <c r="K47" s="767"/>
      <c r="L47" s="767"/>
      <c r="M47" s="767"/>
      <c r="N47" s="767"/>
      <c r="O47" s="767"/>
      <c r="P47" s="767"/>
      <c r="Q47" s="767"/>
      <c r="R47" s="767"/>
      <c r="T47" s="212">
        <f t="shared" si="66"/>
        <v>0</v>
      </c>
      <c r="U47" s="166"/>
      <c r="V47" s="167"/>
      <c r="W47" s="167"/>
      <c r="X47" s="168"/>
      <c r="Y47" s="169"/>
      <c r="Z47" s="1158"/>
      <c r="AA47" s="169">
        <f t="shared" si="68"/>
        <v>0</v>
      </c>
      <c r="AB47" s="170">
        <f>IF($AC$5='Manuell filtrering og justering'!$J$2,Z47,(T47-AA47))</f>
        <v>0</v>
      </c>
      <c r="AD47" s="171">
        <f t="shared" si="69"/>
        <v>0</v>
      </c>
      <c r="AE47" s="171">
        <f t="shared" si="87"/>
        <v>0</v>
      </c>
      <c r="AF47" s="171">
        <f t="shared" si="88"/>
        <v>0</v>
      </c>
      <c r="AG47" s="171">
        <f t="shared" si="89"/>
        <v>0</v>
      </c>
      <c r="AI47" s="172">
        <f>IF(VLOOKUP(E47,'Pre-Assessment Estimator'!$E$11:$Z$226,'Pre-Assessment Estimator'!$G$2,FALSE)&gt;AB47,AB47,VLOOKUP(E47,'Pre-Assessment Estimator'!$E$11:$Z$226,'Pre-Assessment Estimator'!$G$2,FALSE))</f>
        <v>0</v>
      </c>
      <c r="AJ47" s="172">
        <f>IF(VLOOKUP(E47,'Pre-Assessment Estimator'!$E$11:$Z$226,'Pre-Assessment Estimator'!$N$2,FALSE)&gt;AB47,AB47,VLOOKUP(E47,'Pre-Assessment Estimator'!$E$11:$Z$226,'Pre-Assessment Estimator'!$N$2,FALSE))</f>
        <v>0</v>
      </c>
      <c r="AK47" s="172">
        <f>IF(VLOOKUP(E47,'Pre-Assessment Estimator'!$E$11:$Z$226,'Pre-Assessment Estimator'!$U$2,FALSE)&gt;AB47,AB47,VLOOKUP(E47,'Pre-Assessment Estimator'!$E$11:$Z$226,'Pre-Assessment Estimator'!$U$2,FALSE))</f>
        <v>0</v>
      </c>
      <c r="AM47" s="291"/>
      <c r="AN47" s="181"/>
      <c r="AO47" s="304"/>
      <c r="AP47" s="293"/>
      <c r="AQ47" s="294"/>
      <c r="AS47" s="292"/>
      <c r="AT47" s="293"/>
      <c r="AU47" s="293"/>
      <c r="AV47" s="293"/>
      <c r="AW47" s="294"/>
      <c r="AY47" s="182"/>
      <c r="AZ47" s="183"/>
      <c r="BA47" s="183"/>
      <c r="BB47" s="183"/>
      <c r="BC47" s="176"/>
      <c r="BD47" s="687">
        <f t="shared" ref="BD47:BD64" si="95">IF(BC47=0,9,IF((AI47-CG47)&gt;=BC47,5,IF((AI47-CG47)&gt;=BB47,4,IF((AI47-CG47)&gt;=BA47,3,IF((AI47-CG47)&gt;=AZ47,2,IF((AI47-CG47)&lt;AY47,0,1))))))</f>
        <v>9</v>
      </c>
      <c r="BE47" s="164" t="str">
        <f t="shared" si="71"/>
        <v>N/A</v>
      </c>
      <c r="BF47" s="185"/>
      <c r="BG47" s="182">
        <f t="shared" ref="BG47:BG64" si="96">IF(BC47=0,9,IF((AJ47-CG47)&gt;=BC47,5,IF((AJ47-CG47)&gt;=BB47,4,IF((AJ47-CG47)&gt;=BA47,3,IF((AJ47-CG47)&gt;=AZ47,2,IF((AJ47-CG47)&lt;AY47,0,1))))))</f>
        <v>9</v>
      </c>
      <c r="BH47" s="164" t="str">
        <f t="shared" si="73"/>
        <v>N/A</v>
      </c>
      <c r="BI47" s="185"/>
      <c r="BJ47" s="182">
        <f t="shared" ref="BJ47:BJ64" si="97">IF(BC47=0,9,IF((AK47-CG47)&gt;=BC47,5,IF((AK47-CG47)&gt;=BB47,4,IF((AK47-CG47)&gt;=BA47,3,IF((AK47-CG47)&gt;=AZ47,2,IF((AK47-CG47)&lt;AY47,0,1))))))</f>
        <v>9</v>
      </c>
      <c r="BK47" s="164" t="str">
        <f t="shared" si="74"/>
        <v>N/A</v>
      </c>
      <c r="BL47" s="185"/>
      <c r="BO47" s="167"/>
      <c r="BP47" s="167"/>
      <c r="BQ47" s="167" t="str">
        <f t="shared" si="15"/>
        <v/>
      </c>
      <c r="BR47" s="167">
        <f t="shared" si="55"/>
        <v>9</v>
      </c>
      <c r="BS47" s="167">
        <f t="shared" si="56"/>
        <v>9</v>
      </c>
      <c r="BT47" s="167">
        <f t="shared" si="57"/>
        <v>9</v>
      </c>
      <c r="BW47" s="167"/>
      <c r="BX47" s="167"/>
      <c r="BY47" s="230"/>
      <c r="BZ47" s="167"/>
      <c r="CA47" s="839"/>
      <c r="CB47" s="167"/>
      <c r="CE47" s="167"/>
      <c r="CG47" s="681"/>
    </row>
    <row r="48" spans="1:87" x14ac:dyDescent="0.25">
      <c r="A48" s="96">
        <v>40</v>
      </c>
      <c r="B48" s="96" t="str">
        <f t="shared" ref="B48:B50" si="98">$D$46&amp;D48</f>
        <v>Hea 02b</v>
      </c>
      <c r="C48" s="96" t="str">
        <f t="shared" si="19"/>
        <v>Hea 02</v>
      </c>
      <c r="D48" s="163" t="s">
        <v>696</v>
      </c>
      <c r="E48" s="1107" t="s">
        <v>609</v>
      </c>
      <c r="F48" s="775">
        <v>1</v>
      </c>
      <c r="G48" s="775">
        <v>1</v>
      </c>
      <c r="H48" s="775">
        <v>1</v>
      </c>
      <c r="I48" s="775">
        <v>1</v>
      </c>
      <c r="J48" s="775">
        <v>1</v>
      </c>
      <c r="K48" s="775">
        <v>1</v>
      </c>
      <c r="L48" s="775">
        <v>1</v>
      </c>
      <c r="M48" s="775">
        <v>1</v>
      </c>
      <c r="N48" s="775">
        <v>1</v>
      </c>
      <c r="O48" s="775">
        <v>1</v>
      </c>
      <c r="P48" s="775">
        <v>1</v>
      </c>
      <c r="Q48" s="775">
        <v>1</v>
      </c>
      <c r="R48" s="775">
        <v>1</v>
      </c>
      <c r="T48" s="212">
        <f t="shared" si="66"/>
        <v>1</v>
      </c>
      <c r="U48" s="222">
        <f>IF(AND(ADBT0=ADBT1,ADIND_option03=AD_no),Poeng!T48,0)</f>
        <v>0</v>
      </c>
      <c r="V48" s="167"/>
      <c r="W48" s="167"/>
      <c r="X48" s="168"/>
      <c r="Y48" s="169"/>
      <c r="Z48" s="1158">
        <f>VLOOKUP(B48,'Manuell filtrering og justering'!$A$7:$H$107,'Manuell filtrering og justering'!$H$1,FALSE)</f>
        <v>1</v>
      </c>
      <c r="AA48" s="169">
        <f t="shared" si="68"/>
        <v>0</v>
      </c>
      <c r="AB48" s="170">
        <f>IF($AC$5='Manuell filtrering og justering'!$J$2,Z48,(T48-AA48))</f>
        <v>1</v>
      </c>
      <c r="AD48" s="171">
        <f t="shared" si="69"/>
        <v>8.4210526315789472E-3</v>
      </c>
      <c r="AE48" s="171">
        <f t="shared" si="87"/>
        <v>0</v>
      </c>
      <c r="AF48" s="171">
        <f t="shared" si="88"/>
        <v>0</v>
      </c>
      <c r="AG48" s="171">
        <f t="shared" si="89"/>
        <v>0</v>
      </c>
      <c r="AI48" s="1067">
        <f>IF(OR(AI236=AD_no,AI236=0,AI281=0),0,IF(VLOOKUP(E48,'Pre-Assessment Estimator'!$E$11:$Z$226,'Pre-Assessment Estimator'!$G$2,FALSE)&gt;AB48,AB48,VLOOKUP(E48,'Pre-Assessment Estimator'!$E$11:$Z$226,'Pre-Assessment Estimator'!$G$2,FALSE)))</f>
        <v>0</v>
      </c>
      <c r="AJ48" s="1067">
        <f>IF(OR(AJ236=AD_no,AJ236=0,AJ281=0),0,IF(VLOOKUP(E48,'Pre-Assessment Estimator'!$E$11:$Z$226,'Pre-Assessment Estimator'!$N$2,FALSE)&gt;AB48,AB48,VLOOKUP(E48,'Pre-Assessment Estimator'!$E$11:$Z$226,'Pre-Assessment Estimator'!$N$2,FALSE)))</f>
        <v>0</v>
      </c>
      <c r="AK48" s="1067">
        <f>IF(OR(AK236=AD_no,AK236=0,AK281=0),0,IF(VLOOKUP(E48,'Pre-Assessment Estimator'!$E$11:$Z$226,'Pre-Assessment Estimator'!$U$2,FALSE)&gt;AB48,AB48,VLOOKUP(E48,'Pre-Assessment Estimator'!$E$11:$Z$226,'Pre-Assessment Estimator'!$U$2,FALSE)))</f>
        <v>0</v>
      </c>
      <c r="AM48" s="291"/>
      <c r="AN48" s="181"/>
      <c r="AO48" s="304"/>
      <c r="AP48" s="293"/>
      <c r="AQ48" s="294"/>
      <c r="AS48" s="292"/>
      <c r="AT48" s="293"/>
      <c r="AU48" s="293"/>
      <c r="AV48" s="293"/>
      <c r="AW48" s="294"/>
      <c r="AY48" s="182"/>
      <c r="AZ48" s="183"/>
      <c r="BA48" s="183"/>
      <c r="BB48" s="183"/>
      <c r="BC48" s="176"/>
      <c r="BD48" s="687">
        <f t="shared" si="95"/>
        <v>9</v>
      </c>
      <c r="BE48" s="164" t="str">
        <f t="shared" si="71"/>
        <v>N/A</v>
      </c>
      <c r="BF48" s="185"/>
      <c r="BG48" s="182">
        <f t="shared" si="96"/>
        <v>9</v>
      </c>
      <c r="BH48" s="164" t="str">
        <f t="shared" si="73"/>
        <v>N/A</v>
      </c>
      <c r="BI48" s="185"/>
      <c r="BJ48" s="182">
        <f t="shared" si="97"/>
        <v>9</v>
      </c>
      <c r="BK48" s="164" t="str">
        <f t="shared" si="74"/>
        <v>N/A</v>
      </c>
      <c r="BL48" s="185"/>
      <c r="BO48" s="167"/>
      <c r="BP48" s="167"/>
      <c r="BQ48" s="167" t="str">
        <f t="shared" si="15"/>
        <v/>
      </c>
      <c r="BR48" s="167">
        <f t="shared" si="55"/>
        <v>9</v>
      </c>
      <c r="BS48" s="167">
        <f t="shared" si="56"/>
        <v>9</v>
      </c>
      <c r="BT48" s="167">
        <f t="shared" si="57"/>
        <v>9</v>
      </c>
      <c r="BW48" s="167"/>
      <c r="BX48" s="167"/>
      <c r="BY48" s="230"/>
      <c r="BZ48" s="167"/>
      <c r="CA48" s="839"/>
      <c r="CB48" s="167"/>
      <c r="CE48" s="167"/>
      <c r="CG48" s="681"/>
    </row>
    <row r="49" spans="1:85" x14ac:dyDescent="0.25">
      <c r="A49" s="96">
        <v>41</v>
      </c>
      <c r="B49" s="96" t="str">
        <f t="shared" si="98"/>
        <v>Hea 02c</v>
      </c>
      <c r="C49" s="96" t="str">
        <f t="shared" si="19"/>
        <v>Hea 02</v>
      </c>
      <c r="D49" s="166" t="s">
        <v>697</v>
      </c>
      <c r="E49" s="1248" t="s">
        <v>1040</v>
      </c>
      <c r="F49" s="775">
        <v>2</v>
      </c>
      <c r="G49" s="775">
        <v>2</v>
      </c>
      <c r="H49" s="775">
        <v>2</v>
      </c>
      <c r="I49" s="775">
        <v>2</v>
      </c>
      <c r="J49" s="775">
        <v>2</v>
      </c>
      <c r="K49" s="775">
        <v>2</v>
      </c>
      <c r="L49" s="775">
        <v>2</v>
      </c>
      <c r="M49" s="775">
        <v>2</v>
      </c>
      <c r="N49" s="775">
        <v>2</v>
      </c>
      <c r="O49" s="775">
        <v>2</v>
      </c>
      <c r="P49" s="775">
        <v>2</v>
      </c>
      <c r="Q49" s="775">
        <v>2</v>
      </c>
      <c r="R49" s="775">
        <v>2</v>
      </c>
      <c r="T49" s="212">
        <f t="shared" si="66"/>
        <v>2</v>
      </c>
      <c r="U49" s="222">
        <f>IF(AND(ADBT0=ADBT1,ADIND_option03=AD_no),Poeng!T49,0)</f>
        <v>0</v>
      </c>
      <c r="V49" s="167"/>
      <c r="W49" s="167"/>
      <c r="X49" s="168"/>
      <c r="Y49" s="169">
        <f>IF($Y$4=$Y$6,1,0)</f>
        <v>0</v>
      </c>
      <c r="Z49" s="1158">
        <f>VLOOKUP(B49,'Manuell filtrering og justering'!$A$7:$H$107,'Manuell filtrering og justering'!$H$1,FALSE)</f>
        <v>2</v>
      </c>
      <c r="AA49" s="169">
        <f t="shared" si="68"/>
        <v>0</v>
      </c>
      <c r="AB49" s="170">
        <f>IF($AC$5='Manuell filtrering og justering'!$J$2,Z49,(T49-AA49))</f>
        <v>2</v>
      </c>
      <c r="AD49" s="171">
        <f t="shared" si="69"/>
        <v>1.6842105263157894E-2</v>
      </c>
      <c r="AE49" s="171">
        <f t="shared" si="87"/>
        <v>0</v>
      </c>
      <c r="AF49" s="171">
        <f t="shared" si="88"/>
        <v>0</v>
      </c>
      <c r="AG49" s="171">
        <f t="shared" si="89"/>
        <v>0</v>
      </c>
      <c r="AI49" s="1067">
        <f>IF(OR(AI236=AD_no,AI236=0,AI281=0),0,IF(VLOOKUP(E49,'Pre-Assessment Estimator'!$E$11:$Z$226,'Pre-Assessment Estimator'!$G$2,FALSE)&gt;AB49,AB49,VLOOKUP(E49,'Pre-Assessment Estimator'!$E$11:$Z$226,'Pre-Assessment Estimator'!$G$2,FALSE)))</f>
        <v>0</v>
      </c>
      <c r="AJ49" s="1067">
        <f>IF(OR(AJ236=AD_no,AJ236=0,AJ281=0),0,IF(VLOOKUP(E49,'Pre-Assessment Estimator'!$E$11:$Z$226,'Pre-Assessment Estimator'!$N$2,FALSE)&gt;AB49,AB49,VLOOKUP(E49,'Pre-Assessment Estimator'!$E$11:$Z$226,'Pre-Assessment Estimator'!$N$2,FALSE)))</f>
        <v>0</v>
      </c>
      <c r="AK49" s="1067">
        <f>IF(OR(AK236=AD_no,AK236=0,AK281=0),0,IF(VLOOKUP(E49,'Pre-Assessment Estimator'!$E$11:$Z$226,'Pre-Assessment Estimator'!$U$2,FALSE)&gt;AB49,AB49,VLOOKUP(E49,'Pre-Assessment Estimator'!$E$11:$Z$226,'Pre-Assessment Estimator'!$U$2,FALSE)))</f>
        <v>0</v>
      </c>
      <c r="AM49" s="291"/>
      <c r="AN49" s="181"/>
      <c r="AO49" s="1189">
        <f>IF(AND(Y4=Y3,AB49=0),0,IF(AND($Y$4&lt;&gt;$Y$3,Y49&gt;0),0,1))</f>
        <v>1</v>
      </c>
      <c r="AP49" s="1189">
        <f>IF(AND(Y4=Y3,AB49=0),0,IF(AND($Y$4&lt;&gt;$Y$3,Y49&gt;0),0,2))</f>
        <v>2</v>
      </c>
      <c r="AQ49" s="1191">
        <f>IF(AND(Y4=Y3,AB49=0),0,IF(AND($Y$4&lt;&gt;$Y$3,Y49&gt;0),0,2))</f>
        <v>2</v>
      </c>
      <c r="AR49" s="137"/>
      <c r="AS49" s="976"/>
      <c r="AT49" s="974"/>
      <c r="AU49" s="974">
        <v>1</v>
      </c>
      <c r="AV49" s="974">
        <v>2</v>
      </c>
      <c r="AW49" s="975">
        <v>2</v>
      </c>
      <c r="AY49" s="182"/>
      <c r="AZ49" s="183"/>
      <c r="BA49" s="183">
        <f>IF($E$6=$H$9,AU49,AO49)</f>
        <v>1</v>
      </c>
      <c r="BB49" s="183">
        <f>IF($E$6=$H$9,AV49,AP49)</f>
        <v>2</v>
      </c>
      <c r="BC49" s="176">
        <f>IF($E$6=$H$9,AW49,AQ49)</f>
        <v>2</v>
      </c>
      <c r="BD49" s="687">
        <f t="shared" si="95"/>
        <v>2</v>
      </c>
      <c r="BE49" s="164" t="str">
        <f t="shared" si="71"/>
        <v>Good</v>
      </c>
      <c r="BF49" s="185"/>
      <c r="BG49" s="182">
        <f t="shared" si="96"/>
        <v>2</v>
      </c>
      <c r="BH49" s="164" t="str">
        <f t="shared" si="73"/>
        <v>Good</v>
      </c>
      <c r="BI49" s="185"/>
      <c r="BJ49" s="182">
        <f t="shared" si="97"/>
        <v>2</v>
      </c>
      <c r="BK49" s="164" t="str">
        <f t="shared" si="74"/>
        <v>Good</v>
      </c>
      <c r="BL49" s="185"/>
      <c r="BO49" s="167"/>
      <c r="BP49" s="167">
        <v>2</v>
      </c>
      <c r="BQ49" s="167">
        <f t="shared" si="15"/>
        <v>2</v>
      </c>
      <c r="BR49" s="1181">
        <f>IF(AB49=0,9,IF(BQ49="",9,(IF(AI49&gt;=BQ49,5,0))))</f>
        <v>0</v>
      </c>
      <c r="BS49" s="1181">
        <f>IF(AB49=0,9,IF(BQ49="",9,(IF(AJ49&gt;=BQ49,5,0))))</f>
        <v>0</v>
      </c>
      <c r="BT49" s="1181">
        <f>IF(AB49=0,9,IF(BQ49="",9,(IF(AK49&gt;=BQ49,5,0))))</f>
        <v>0</v>
      </c>
      <c r="BW49" s="167"/>
      <c r="BX49" s="167"/>
      <c r="BY49" s="230"/>
      <c r="BZ49" s="167"/>
      <c r="CA49" s="839"/>
      <c r="CB49" s="167"/>
      <c r="CE49" s="167"/>
      <c r="CG49" s="681"/>
    </row>
    <row r="50" spans="1:85" x14ac:dyDescent="0.25">
      <c r="A50" s="96">
        <v>42</v>
      </c>
      <c r="B50" s="96" t="str">
        <f t="shared" si="98"/>
        <v>Hea 02d</v>
      </c>
      <c r="C50" s="96" t="str">
        <f t="shared" si="19"/>
        <v>Hea 02</v>
      </c>
      <c r="D50" s="166" t="s">
        <v>695</v>
      </c>
      <c r="E50" s="1107" t="s">
        <v>611</v>
      </c>
      <c r="F50" s="775">
        <v>1</v>
      </c>
      <c r="G50" s="775">
        <v>1</v>
      </c>
      <c r="H50" s="775">
        <v>1</v>
      </c>
      <c r="I50" s="775">
        <v>1</v>
      </c>
      <c r="J50" s="775">
        <v>1</v>
      </c>
      <c r="K50" s="775">
        <v>1</v>
      </c>
      <c r="L50" s="775">
        <v>1</v>
      </c>
      <c r="M50" s="775">
        <v>1</v>
      </c>
      <c r="N50" s="775">
        <v>1</v>
      </c>
      <c r="O50" s="775">
        <v>1</v>
      </c>
      <c r="P50" s="775">
        <v>1</v>
      </c>
      <c r="Q50" s="775">
        <v>1</v>
      </c>
      <c r="R50" s="775">
        <v>1</v>
      </c>
      <c r="T50" s="212">
        <f t="shared" si="66"/>
        <v>1</v>
      </c>
      <c r="U50" s="222">
        <f>IF(AND(ADBT0=ADBT1,ADIND_option03=AD_no),Poeng!T50,0)</f>
        <v>0</v>
      </c>
      <c r="V50" s="167"/>
      <c r="W50" s="167"/>
      <c r="X50" s="168"/>
      <c r="Y50" s="169">
        <f>IF(OR($Y$4=$Y$5,$Y$4=$Y$6),T50,0)</f>
        <v>0</v>
      </c>
      <c r="Z50" s="1158">
        <f>VLOOKUP(B50,'Manuell filtrering og justering'!$A$7:$H$107,'Manuell filtrering og justering'!$H$1,FALSE)</f>
        <v>1</v>
      </c>
      <c r="AA50" s="169">
        <f t="shared" si="68"/>
        <v>0</v>
      </c>
      <c r="AB50" s="170">
        <f>IF($AC$5='Manuell filtrering og justering'!$J$2,Z50,(T50-AA50))</f>
        <v>1</v>
      </c>
      <c r="AD50" s="171">
        <f t="shared" si="69"/>
        <v>8.4210526315789472E-3</v>
      </c>
      <c r="AE50" s="171">
        <f t="shared" si="87"/>
        <v>0</v>
      </c>
      <c r="AF50" s="171">
        <f t="shared" si="88"/>
        <v>0</v>
      </c>
      <c r="AG50" s="171">
        <f t="shared" si="89"/>
        <v>0</v>
      </c>
      <c r="AI50" s="1067">
        <f>IF(OR(AI236=AD_no,AI236=0,AI281=0),0,IF(VLOOKUP(E50,'Pre-Assessment Estimator'!$E$11:$Z$226,'Pre-Assessment Estimator'!$G$2,FALSE)&gt;AB50,AB50,VLOOKUP(E50,'Pre-Assessment Estimator'!$E$11:$Z$226,'Pre-Assessment Estimator'!$G$2,FALSE)))</f>
        <v>0</v>
      </c>
      <c r="AJ50" s="1067">
        <f>IF(OR(AJ236=AD_no,AJ236=0,AJ281=0),0,IF(VLOOKUP(E50,'Pre-Assessment Estimator'!$E$11:$Z$226,'Pre-Assessment Estimator'!$N$2,FALSE)&gt;AB50,AB50,VLOOKUP(E50,'Pre-Assessment Estimator'!$E$11:$Z$226,'Pre-Assessment Estimator'!$N$2,FALSE)))</f>
        <v>0</v>
      </c>
      <c r="AK50" s="1067">
        <f>IF(OR(AK236=AD_no,AK236=0,AK281=0),0,IF(VLOOKUP(E50,'Pre-Assessment Estimator'!$E$11:$Z$226,'Pre-Assessment Estimator'!$U$2,FALSE)&gt;AB50,AB50,VLOOKUP(E50,'Pre-Assessment Estimator'!$E$11:$Z$226,'Pre-Assessment Estimator'!$U$2,FALSE)))</f>
        <v>0</v>
      </c>
      <c r="AM50" s="291"/>
      <c r="AN50" s="181"/>
      <c r="AO50" s="304"/>
      <c r="AP50" s="293"/>
      <c r="AQ50" s="294"/>
      <c r="AS50" s="292"/>
      <c r="AT50" s="293"/>
      <c r="AU50" s="293"/>
      <c r="AV50" s="293"/>
      <c r="AW50" s="294"/>
      <c r="AY50" s="182"/>
      <c r="AZ50" s="183"/>
      <c r="BA50" s="183"/>
      <c r="BB50" s="183"/>
      <c r="BC50" s="176"/>
      <c r="BD50" s="687">
        <f t="shared" si="95"/>
        <v>9</v>
      </c>
      <c r="BE50" s="164" t="str">
        <f t="shared" si="71"/>
        <v>N/A</v>
      </c>
      <c r="BF50" s="185"/>
      <c r="BG50" s="182">
        <f t="shared" si="96"/>
        <v>9</v>
      </c>
      <c r="BH50" s="164" t="str">
        <f t="shared" si="73"/>
        <v>N/A</v>
      </c>
      <c r="BI50" s="185"/>
      <c r="BJ50" s="182">
        <f t="shared" si="97"/>
        <v>9</v>
      </c>
      <c r="BK50" s="164" t="str">
        <f t="shared" si="74"/>
        <v>N/A</v>
      </c>
      <c r="BL50" s="185"/>
      <c r="BO50" s="167"/>
      <c r="BP50" s="167"/>
      <c r="BQ50" s="167" t="str">
        <f t="shared" si="15"/>
        <v/>
      </c>
      <c r="BR50" s="167">
        <f t="shared" si="55"/>
        <v>9</v>
      </c>
      <c r="BS50" s="167">
        <f t="shared" si="56"/>
        <v>9</v>
      </c>
      <c r="BT50" s="167">
        <f t="shared" si="57"/>
        <v>9</v>
      </c>
      <c r="BW50" s="167"/>
      <c r="BX50" s="167"/>
      <c r="BY50" s="230"/>
      <c r="BZ50" s="167"/>
      <c r="CA50" s="839"/>
      <c r="CB50" s="167"/>
      <c r="CE50" s="167"/>
      <c r="CG50" s="681"/>
    </row>
    <row r="51" spans="1:85" x14ac:dyDescent="0.25">
      <c r="A51" s="96">
        <v>43</v>
      </c>
      <c r="B51" s="137" t="str">
        <f>D51</f>
        <v>Hea 03</v>
      </c>
      <c r="C51" s="137" t="str">
        <f>B51</f>
        <v>Hea 03</v>
      </c>
      <c r="D51" s="834" t="s">
        <v>119</v>
      </c>
      <c r="E51" s="832" t="s">
        <v>113</v>
      </c>
      <c r="F51" s="933">
        <f t="shared" ref="F51:R51" si="99">SUM(F52:F54)</f>
        <v>3</v>
      </c>
      <c r="G51" s="933">
        <f t="shared" si="99"/>
        <v>3</v>
      </c>
      <c r="H51" s="933">
        <f t="shared" si="99"/>
        <v>3</v>
      </c>
      <c r="I51" s="933">
        <f t="shared" si="99"/>
        <v>3</v>
      </c>
      <c r="J51" s="933">
        <f t="shared" si="99"/>
        <v>3</v>
      </c>
      <c r="K51" s="933">
        <f t="shared" si="99"/>
        <v>3</v>
      </c>
      <c r="L51" s="933">
        <f t="shared" si="99"/>
        <v>3</v>
      </c>
      <c r="M51" s="933">
        <f t="shared" si="99"/>
        <v>3</v>
      </c>
      <c r="N51" s="933">
        <f t="shared" si="99"/>
        <v>3</v>
      </c>
      <c r="O51" s="933">
        <f t="shared" si="99"/>
        <v>3</v>
      </c>
      <c r="P51" s="933">
        <f t="shared" si="99"/>
        <v>3</v>
      </c>
      <c r="Q51" s="933">
        <f t="shared" ref="Q51" si="100">SUM(Q52:Q54)</f>
        <v>3</v>
      </c>
      <c r="R51" s="933">
        <f t="shared" si="99"/>
        <v>3</v>
      </c>
      <c r="T51" s="961">
        <f t="shared" si="66"/>
        <v>3</v>
      </c>
      <c r="U51" s="222">
        <f>U52+U53+U54</f>
        <v>0</v>
      </c>
      <c r="V51" s="230"/>
      <c r="W51" s="230"/>
      <c r="X51" s="1098">
        <f>'Manuell filtrering og justering'!E19</f>
        <v>0</v>
      </c>
      <c r="Y51" s="963"/>
      <c r="Z51" s="1177">
        <f t="shared" ref="Z51" si="101">SUM(Z52:Z54)</f>
        <v>3</v>
      </c>
      <c r="AA51" s="963">
        <f t="shared" si="68"/>
        <v>0</v>
      </c>
      <c r="AB51" s="1066">
        <f>SUM(AB52:AB54)</f>
        <v>3</v>
      </c>
      <c r="AD51" s="171">
        <f t="shared" si="69"/>
        <v>2.5263157894736842E-2</v>
      </c>
      <c r="AE51" s="921">
        <f>SUM(AE52:AE54)</f>
        <v>0</v>
      </c>
      <c r="AF51" s="921">
        <f t="shared" ref="AF51:AG51" si="102">SUM(AF52:AF54)</f>
        <v>0</v>
      </c>
      <c r="AG51" s="921">
        <f t="shared" si="102"/>
        <v>0</v>
      </c>
      <c r="AI51" s="958">
        <f t="shared" ref="AI51:AK51" si="103">SUM(AI52:AI54)</f>
        <v>0</v>
      </c>
      <c r="AJ51" s="958">
        <f t="shared" si="103"/>
        <v>0</v>
      </c>
      <c r="AK51" s="958">
        <f t="shared" si="103"/>
        <v>0</v>
      </c>
      <c r="AL51" s="96" t="s">
        <v>426</v>
      </c>
      <c r="AM51" s="292"/>
      <c r="AN51" s="293"/>
      <c r="AO51" s="293"/>
      <c r="AP51" s="293"/>
      <c r="AQ51" s="294"/>
      <c r="AS51" s="292"/>
      <c r="AT51" s="293"/>
      <c r="AU51" s="293"/>
      <c r="AV51" s="293"/>
      <c r="AW51" s="294"/>
      <c r="AY51" s="188"/>
      <c r="AZ51" s="189"/>
      <c r="BA51" s="189"/>
      <c r="BB51" s="189"/>
      <c r="BC51" s="190"/>
      <c r="BD51" s="687">
        <f t="shared" si="95"/>
        <v>9</v>
      </c>
      <c r="BE51" s="164" t="str">
        <f t="shared" si="71"/>
        <v>N/A</v>
      </c>
      <c r="BF51" s="185"/>
      <c r="BG51" s="182">
        <f t="shared" si="96"/>
        <v>9</v>
      </c>
      <c r="BH51" s="164" t="str">
        <f t="shared" si="73"/>
        <v>N/A</v>
      </c>
      <c r="BI51" s="185"/>
      <c r="BJ51" s="182">
        <f t="shared" si="97"/>
        <v>9</v>
      </c>
      <c r="BK51" s="164" t="str">
        <f t="shared" si="74"/>
        <v>N/A</v>
      </c>
      <c r="BL51" s="185"/>
      <c r="BO51" s="167"/>
      <c r="BP51" s="167"/>
      <c r="BQ51" s="167" t="str">
        <f t="shared" si="15"/>
        <v/>
      </c>
      <c r="BR51" s="167">
        <f t="shared" si="55"/>
        <v>9</v>
      </c>
      <c r="BS51" s="167">
        <f t="shared" si="56"/>
        <v>9</v>
      </c>
      <c r="BT51" s="167">
        <f t="shared" si="57"/>
        <v>9</v>
      </c>
      <c r="BW51" s="167" t="str">
        <f>D51</f>
        <v>Hea 03</v>
      </c>
      <c r="BX51" s="167" t="str">
        <f>IFERROR(VLOOKUP($E51,'Pre-Assessment Estimator'!$E$11:$AB$226,'Pre-Assessment Estimator'!AB$2,FALSE),"")</f>
        <v>No</v>
      </c>
      <c r="BY51" s="230" t="str">
        <f>IFERROR(VLOOKUP($E51,'Pre-Assessment Estimator'!$E$11:$AI$226,'Pre-Assessment Estimator'!AI$2,FALSE),"")</f>
        <v>Ja</v>
      </c>
      <c r="BZ51" s="167">
        <f>IFERROR(VLOOKUP($BX51,$E$293:$H$326,F$291,FALSE),"")</f>
        <v>1</v>
      </c>
      <c r="CA51" s="680" t="s">
        <v>431</v>
      </c>
      <c r="CB51" s="167"/>
      <c r="CC51" s="96" t="str">
        <f>IFERROR(VLOOKUP($BX51,$E$293:$H$326,I$291,FALSE),"")</f>
        <v/>
      </c>
      <c r="CD51" s="96" t="s">
        <v>437</v>
      </c>
      <c r="CE51" s="167">
        <f t="shared" si="75"/>
        <v>1</v>
      </c>
      <c r="CG51" s="681">
        <f>IF($BX$5=ais_nei,CE51,IF(AND(CA51=$CA$4,BX51=$CC$4),0,BZ51))</f>
        <v>1</v>
      </c>
    </row>
    <row r="52" spans="1:85" x14ac:dyDescent="0.25">
      <c r="A52" s="96">
        <v>44</v>
      </c>
      <c r="B52" s="96" t="str">
        <f t="shared" ref="B52:B54" si="104">$D$51&amp;D52</f>
        <v>Hea 03a</v>
      </c>
      <c r="C52" s="96" t="str">
        <f t="shared" si="19"/>
        <v>Hea 03</v>
      </c>
      <c r="D52" s="163" t="s">
        <v>693</v>
      </c>
      <c r="E52" s="1107" t="s">
        <v>612</v>
      </c>
      <c r="F52" s="775">
        <v>1</v>
      </c>
      <c r="G52" s="775">
        <v>1</v>
      </c>
      <c r="H52" s="775">
        <v>1</v>
      </c>
      <c r="I52" s="775">
        <v>1</v>
      </c>
      <c r="J52" s="775">
        <v>1</v>
      </c>
      <c r="K52" s="775">
        <v>1</v>
      </c>
      <c r="L52" s="775">
        <v>1</v>
      </c>
      <c r="M52" s="775">
        <v>1</v>
      </c>
      <c r="N52" s="775">
        <v>1</v>
      </c>
      <c r="O52" s="775">
        <v>1</v>
      </c>
      <c r="P52" s="775">
        <v>1</v>
      </c>
      <c r="Q52" s="775">
        <v>1</v>
      </c>
      <c r="R52" s="775">
        <v>1</v>
      </c>
      <c r="T52" s="212">
        <f t="shared" si="66"/>
        <v>1</v>
      </c>
      <c r="U52" s="222">
        <f>IF(AND(ADBT0=ADBT1,ADIND_option03=AD_no),Poeng!T52,0)</f>
        <v>0</v>
      </c>
      <c r="V52" s="167"/>
      <c r="W52" s="167"/>
      <c r="X52" s="168"/>
      <c r="Y52" s="169">
        <f>IF($Y$4=$Y$6,T52,0)</f>
        <v>0</v>
      </c>
      <c r="Z52" s="1158">
        <f>VLOOKUP(B52,'Manuell filtrering og justering'!$A$7:$H$107,'Manuell filtrering og justering'!$H$1,FALSE)</f>
        <v>1</v>
      </c>
      <c r="AA52" s="169">
        <f t="shared" si="68"/>
        <v>0</v>
      </c>
      <c r="AB52" s="170">
        <f>IF($AC$5='Manuell filtrering og justering'!$J$2,Z52,(T52-AA52))</f>
        <v>1</v>
      </c>
      <c r="AD52" s="171">
        <f t="shared" si="69"/>
        <v>8.4210526315789472E-3</v>
      </c>
      <c r="AE52" s="171">
        <f t="shared" si="87"/>
        <v>0</v>
      </c>
      <c r="AF52" s="171">
        <f t="shared" si="88"/>
        <v>0</v>
      </c>
      <c r="AG52" s="171">
        <f t="shared" si="89"/>
        <v>0</v>
      </c>
      <c r="AI52" s="172">
        <f>IF(VLOOKUP(E52,'Pre-Assessment Estimator'!$E$11:$Z$226,'Pre-Assessment Estimator'!$G$2,FALSE)&gt;AB52,AB52,VLOOKUP(E52,'Pre-Assessment Estimator'!$E$11:$Z$226,'Pre-Assessment Estimator'!$G$2,FALSE))</f>
        <v>0</v>
      </c>
      <c r="AJ52" s="172">
        <f>IF(VLOOKUP(E52,'Pre-Assessment Estimator'!$E$11:$Z$226,'Pre-Assessment Estimator'!$N$2,FALSE)&gt;AB52,AB52,VLOOKUP(E52,'Pre-Assessment Estimator'!$E$11:$Z$226,'Pre-Assessment Estimator'!$N$2,FALSE))</f>
        <v>0</v>
      </c>
      <c r="AK52" s="172">
        <f>IF(VLOOKUP(E52,'Pre-Assessment Estimator'!$E$11:$Z$226,'Pre-Assessment Estimator'!$U$2,FALSE)&gt;AB52,AB52,VLOOKUP(E52,'Pre-Assessment Estimator'!$E$11:$Z$226,'Pre-Assessment Estimator'!$U$2,FALSE))</f>
        <v>0</v>
      </c>
      <c r="AM52" s="292"/>
      <c r="AN52" s="293"/>
      <c r="AO52" s="293"/>
      <c r="AP52" s="293"/>
      <c r="AQ52" s="294"/>
      <c r="AS52" s="292"/>
      <c r="AT52" s="293"/>
      <c r="AU52" s="293"/>
      <c r="AV52" s="293"/>
      <c r="AW52" s="294"/>
      <c r="AY52" s="188"/>
      <c r="AZ52" s="189"/>
      <c r="BA52" s="189"/>
      <c r="BB52" s="189"/>
      <c r="BC52" s="190"/>
      <c r="BD52" s="687">
        <f t="shared" si="95"/>
        <v>9</v>
      </c>
      <c r="BE52" s="164" t="str">
        <f t="shared" si="71"/>
        <v>N/A</v>
      </c>
      <c r="BF52" s="185"/>
      <c r="BG52" s="182">
        <f t="shared" si="96"/>
        <v>9</v>
      </c>
      <c r="BH52" s="164" t="str">
        <f t="shared" si="73"/>
        <v>N/A</v>
      </c>
      <c r="BI52" s="185"/>
      <c r="BJ52" s="182">
        <f t="shared" si="97"/>
        <v>9</v>
      </c>
      <c r="BK52" s="164" t="str">
        <f t="shared" si="74"/>
        <v>N/A</v>
      </c>
      <c r="BL52" s="185"/>
      <c r="BO52" s="167"/>
      <c r="BP52" s="167"/>
      <c r="BQ52" s="167" t="str">
        <f t="shared" si="15"/>
        <v/>
      </c>
      <c r="BR52" s="167">
        <f t="shared" si="55"/>
        <v>9</v>
      </c>
      <c r="BS52" s="167">
        <f t="shared" si="56"/>
        <v>9</v>
      </c>
      <c r="BT52" s="167">
        <f t="shared" si="57"/>
        <v>9</v>
      </c>
      <c r="BW52" s="167"/>
      <c r="BX52" s="167"/>
      <c r="BY52" s="230"/>
      <c r="BZ52" s="167"/>
      <c r="CA52" s="680"/>
      <c r="CB52" s="167"/>
      <c r="CE52" s="167"/>
      <c r="CG52" s="681"/>
    </row>
    <row r="53" spans="1:85" x14ac:dyDescent="0.25">
      <c r="A53" s="96">
        <v>45</v>
      </c>
      <c r="B53" s="96" t="str">
        <f t="shared" si="104"/>
        <v>Hea 03b</v>
      </c>
      <c r="C53" s="96" t="str">
        <f t="shared" si="19"/>
        <v>Hea 03</v>
      </c>
      <c r="D53" s="163" t="s">
        <v>696</v>
      </c>
      <c r="E53" s="1107" t="s">
        <v>613</v>
      </c>
      <c r="F53" s="775">
        <v>1</v>
      </c>
      <c r="G53" s="775">
        <v>1</v>
      </c>
      <c r="H53" s="775">
        <v>1</v>
      </c>
      <c r="I53" s="775">
        <v>1</v>
      </c>
      <c r="J53" s="775">
        <v>1</v>
      </c>
      <c r="K53" s="775">
        <v>1</v>
      </c>
      <c r="L53" s="775">
        <v>1</v>
      </c>
      <c r="M53" s="775">
        <v>1</v>
      </c>
      <c r="N53" s="775">
        <v>1</v>
      </c>
      <c r="O53" s="775">
        <v>1</v>
      </c>
      <c r="P53" s="775">
        <v>1</v>
      </c>
      <c r="Q53" s="775">
        <v>1</v>
      </c>
      <c r="R53" s="775">
        <v>1</v>
      </c>
      <c r="T53" s="212">
        <f t="shared" si="66"/>
        <v>1</v>
      </c>
      <c r="U53" s="222">
        <f>IF(AND(ADBT0=ADBT1,ADIND_option03=AD_no),Poeng!T53,0)</f>
        <v>0</v>
      </c>
      <c r="V53" s="167"/>
      <c r="W53" s="167"/>
      <c r="X53" s="168"/>
      <c r="Y53" s="169">
        <f>IF($Y$4=$Y$6,T53,0)</f>
        <v>0</v>
      </c>
      <c r="Z53" s="1158">
        <f>VLOOKUP(B53,'Manuell filtrering og justering'!$A$7:$H$107,'Manuell filtrering og justering'!$H$1,FALSE)</f>
        <v>1</v>
      </c>
      <c r="AA53" s="169">
        <f t="shared" si="68"/>
        <v>0</v>
      </c>
      <c r="AB53" s="170">
        <f>IF($AC$5='Manuell filtrering og justering'!$J$2,Z53,(T53-AA53))</f>
        <v>1</v>
      </c>
      <c r="AD53" s="171">
        <f t="shared" si="69"/>
        <v>8.4210526315789472E-3</v>
      </c>
      <c r="AE53" s="171">
        <f t="shared" si="87"/>
        <v>0</v>
      </c>
      <c r="AF53" s="171">
        <f t="shared" si="88"/>
        <v>0</v>
      </c>
      <c r="AG53" s="171">
        <f t="shared" si="89"/>
        <v>0</v>
      </c>
      <c r="AI53" s="172">
        <f>IF(VLOOKUP(E53,'Pre-Assessment Estimator'!$E$11:$Z$226,'Pre-Assessment Estimator'!$G$2,FALSE)&gt;AB53,AB53,VLOOKUP(E53,'Pre-Assessment Estimator'!$E$11:$Z$226,'Pre-Assessment Estimator'!$G$2,FALSE))</f>
        <v>0</v>
      </c>
      <c r="AJ53" s="172">
        <f>IF(VLOOKUP(E53,'Pre-Assessment Estimator'!$E$11:$Z$226,'Pre-Assessment Estimator'!$N$2,FALSE)&gt;AB53,AB53,VLOOKUP(E53,'Pre-Assessment Estimator'!$E$11:$Z$226,'Pre-Assessment Estimator'!$N$2,FALSE))</f>
        <v>0</v>
      </c>
      <c r="AK53" s="172">
        <f>IF(VLOOKUP(E53,'Pre-Assessment Estimator'!$E$11:$Z$226,'Pre-Assessment Estimator'!$U$2,FALSE)&gt;AB53,AB53,VLOOKUP(E53,'Pre-Assessment Estimator'!$E$11:$Z$226,'Pre-Assessment Estimator'!$U$2,FALSE))</f>
        <v>0</v>
      </c>
      <c r="AM53" s="292"/>
      <c r="AN53" s="293"/>
      <c r="AO53" s="293"/>
      <c r="AP53" s="293"/>
      <c r="AQ53" s="294"/>
      <c r="AS53" s="292"/>
      <c r="AT53" s="293"/>
      <c r="AU53" s="293"/>
      <c r="AV53" s="293"/>
      <c r="AW53" s="294"/>
      <c r="AY53" s="188"/>
      <c r="AZ53" s="189"/>
      <c r="BA53" s="189"/>
      <c r="BB53" s="189"/>
      <c r="BC53" s="190"/>
      <c r="BD53" s="687">
        <f t="shared" si="95"/>
        <v>9</v>
      </c>
      <c r="BE53" s="164" t="str">
        <f t="shared" si="71"/>
        <v>N/A</v>
      </c>
      <c r="BF53" s="185"/>
      <c r="BG53" s="182">
        <f t="shared" si="96"/>
        <v>9</v>
      </c>
      <c r="BH53" s="164" t="str">
        <f t="shared" si="73"/>
        <v>N/A</v>
      </c>
      <c r="BI53" s="185"/>
      <c r="BJ53" s="182">
        <f t="shared" si="97"/>
        <v>9</v>
      </c>
      <c r="BK53" s="164" t="str">
        <f t="shared" si="74"/>
        <v>N/A</v>
      </c>
      <c r="BL53" s="185"/>
      <c r="BO53" s="167"/>
      <c r="BP53" s="167"/>
      <c r="BQ53" s="167" t="str">
        <f t="shared" si="15"/>
        <v/>
      </c>
      <c r="BR53" s="167">
        <f t="shared" si="55"/>
        <v>9</v>
      </c>
      <c r="BS53" s="167">
        <f t="shared" si="56"/>
        <v>9</v>
      </c>
      <c r="BT53" s="167">
        <f t="shared" si="57"/>
        <v>9</v>
      </c>
      <c r="BW53" s="167"/>
      <c r="BX53" s="167"/>
      <c r="BY53" s="230"/>
      <c r="BZ53" s="167"/>
      <c r="CA53" s="680"/>
      <c r="CB53" s="167"/>
      <c r="CE53" s="167"/>
      <c r="CG53" s="681"/>
    </row>
    <row r="54" spans="1:85" x14ac:dyDescent="0.25">
      <c r="A54" s="96">
        <v>46</v>
      </c>
      <c r="B54" s="96" t="str">
        <f t="shared" si="104"/>
        <v>Hea 03c</v>
      </c>
      <c r="C54" s="96" t="str">
        <f t="shared" si="19"/>
        <v>Hea 03</v>
      </c>
      <c r="D54" s="166" t="s">
        <v>697</v>
      </c>
      <c r="E54" s="1107" t="s">
        <v>614</v>
      </c>
      <c r="F54" s="775">
        <v>1</v>
      </c>
      <c r="G54" s="775">
        <v>1</v>
      </c>
      <c r="H54" s="775">
        <v>1</v>
      </c>
      <c r="I54" s="775">
        <v>1</v>
      </c>
      <c r="J54" s="775">
        <v>1</v>
      </c>
      <c r="K54" s="775">
        <v>1</v>
      </c>
      <c r="L54" s="775">
        <v>1</v>
      </c>
      <c r="M54" s="775">
        <v>1</v>
      </c>
      <c r="N54" s="775">
        <v>1</v>
      </c>
      <c r="O54" s="775">
        <v>1</v>
      </c>
      <c r="P54" s="775">
        <v>1</v>
      </c>
      <c r="Q54" s="775">
        <v>1</v>
      </c>
      <c r="R54" s="775">
        <v>1</v>
      </c>
      <c r="T54" s="212">
        <f t="shared" si="66"/>
        <v>1</v>
      </c>
      <c r="U54" s="222">
        <f>IF(AND(ADBT0=ADBT1,ADIND_option03=AD_no),Poeng!T54,0)</f>
        <v>0</v>
      </c>
      <c r="V54" s="167"/>
      <c r="W54" s="167"/>
      <c r="X54" s="168"/>
      <c r="Y54" s="169">
        <f>IF(OR($Y$4=$Y$5,$Y$4=$Y$6),T54,0)</f>
        <v>0</v>
      </c>
      <c r="Z54" s="1158">
        <f>VLOOKUP(B54,'Manuell filtrering og justering'!$A$7:$H$107,'Manuell filtrering og justering'!$H$1,FALSE)</f>
        <v>1</v>
      </c>
      <c r="AA54" s="169">
        <f t="shared" si="68"/>
        <v>0</v>
      </c>
      <c r="AB54" s="170">
        <f>IF($AC$5='Manuell filtrering og justering'!$J$2,Z54,(T54-AA54))</f>
        <v>1</v>
      </c>
      <c r="AD54" s="171">
        <f t="shared" si="69"/>
        <v>8.4210526315789472E-3</v>
      </c>
      <c r="AE54" s="171">
        <f t="shared" si="87"/>
        <v>0</v>
      </c>
      <c r="AF54" s="171">
        <f t="shared" si="88"/>
        <v>0</v>
      </c>
      <c r="AG54" s="171">
        <f t="shared" si="89"/>
        <v>0</v>
      </c>
      <c r="AI54" s="172">
        <f>IF(VLOOKUP(E54,'Pre-Assessment Estimator'!$E$11:$Z$226,'Pre-Assessment Estimator'!$G$2,FALSE)&gt;AB54,AB54,VLOOKUP(E54,'Pre-Assessment Estimator'!$E$11:$Z$226,'Pre-Assessment Estimator'!$G$2,FALSE))</f>
        <v>0</v>
      </c>
      <c r="AJ54" s="172">
        <f>IF(VLOOKUP(E54,'Pre-Assessment Estimator'!$E$11:$Z$226,'Pre-Assessment Estimator'!$N$2,FALSE)&gt;AB54,AB54,VLOOKUP(E54,'Pre-Assessment Estimator'!$E$11:$Z$226,'Pre-Assessment Estimator'!$N$2,FALSE))</f>
        <v>0</v>
      </c>
      <c r="AK54" s="172">
        <f>IF(VLOOKUP(E54,'Pre-Assessment Estimator'!$E$11:$Z$226,'Pre-Assessment Estimator'!$U$2,FALSE)&gt;AB54,AB54,VLOOKUP(E54,'Pre-Assessment Estimator'!$E$11:$Z$226,'Pre-Assessment Estimator'!$U$2,FALSE))</f>
        <v>0</v>
      </c>
      <c r="AM54" s="292"/>
      <c r="AN54" s="293"/>
      <c r="AO54" s="293"/>
      <c r="AP54" s="293"/>
      <c r="AQ54" s="294"/>
      <c r="AS54" s="292"/>
      <c r="AT54" s="293"/>
      <c r="AU54" s="293"/>
      <c r="AV54" s="293"/>
      <c r="AW54" s="294"/>
      <c r="AY54" s="188"/>
      <c r="AZ54" s="189"/>
      <c r="BA54" s="189"/>
      <c r="BB54" s="189"/>
      <c r="BC54" s="190"/>
      <c r="BD54" s="687">
        <f t="shared" si="95"/>
        <v>9</v>
      </c>
      <c r="BE54" s="164" t="str">
        <f t="shared" si="71"/>
        <v>N/A</v>
      </c>
      <c r="BF54" s="185"/>
      <c r="BG54" s="182">
        <f t="shared" si="96"/>
        <v>9</v>
      </c>
      <c r="BH54" s="164" t="str">
        <f t="shared" si="73"/>
        <v>N/A</v>
      </c>
      <c r="BI54" s="185"/>
      <c r="BJ54" s="182">
        <f t="shared" si="97"/>
        <v>9</v>
      </c>
      <c r="BK54" s="164" t="str">
        <f t="shared" si="74"/>
        <v>N/A</v>
      </c>
      <c r="BL54" s="185"/>
      <c r="BO54" s="167"/>
      <c r="BP54" s="167"/>
      <c r="BQ54" s="167" t="str">
        <f t="shared" si="15"/>
        <v/>
      </c>
      <c r="BR54" s="167">
        <f t="shared" si="55"/>
        <v>9</v>
      </c>
      <c r="BS54" s="167">
        <f t="shared" si="56"/>
        <v>9</v>
      </c>
      <c r="BT54" s="167">
        <f t="shared" si="57"/>
        <v>9</v>
      </c>
      <c r="BW54" s="167"/>
      <c r="BX54" s="167"/>
      <c r="BY54" s="230"/>
      <c r="BZ54" s="167"/>
      <c r="CA54" s="680"/>
      <c r="CB54" s="167"/>
      <c r="CE54" s="167"/>
      <c r="CG54" s="681"/>
    </row>
    <row r="55" spans="1:85" x14ac:dyDescent="0.25">
      <c r="A55" s="96">
        <v>47</v>
      </c>
      <c r="D55" s="701" t="s">
        <v>120</v>
      </c>
      <c r="E55" s="702"/>
      <c r="F55" s="935"/>
      <c r="G55" s="935"/>
      <c r="H55" s="935"/>
      <c r="I55" s="935"/>
      <c r="J55" s="935"/>
      <c r="K55" s="935"/>
      <c r="L55" s="935"/>
      <c r="M55" s="935"/>
      <c r="N55" s="935"/>
      <c r="O55" s="935"/>
      <c r="P55" s="935"/>
      <c r="Q55" s="935"/>
      <c r="R55" s="935"/>
      <c r="T55" s="962"/>
      <c r="U55" s="701"/>
      <c r="V55" s="700"/>
      <c r="W55" s="700"/>
      <c r="X55" s="955"/>
      <c r="Y55" s="956"/>
      <c r="Z55" s="1158"/>
      <c r="AA55" s="956"/>
      <c r="AB55" s="957"/>
      <c r="AD55" s="171">
        <f t="shared" si="69"/>
        <v>0</v>
      </c>
      <c r="AE55" s="960"/>
      <c r="AF55" s="960"/>
      <c r="AG55" s="960"/>
      <c r="AI55" s="720"/>
      <c r="AJ55" s="720"/>
      <c r="AK55" s="720"/>
      <c r="AL55" s="96" t="s">
        <v>426</v>
      </c>
      <c r="AM55" s="292"/>
      <c r="AN55" s="293"/>
      <c r="AO55" s="293"/>
      <c r="AP55" s="293"/>
      <c r="AQ55" s="294"/>
      <c r="AS55" s="292"/>
      <c r="AT55" s="293"/>
      <c r="AU55" s="293"/>
      <c r="AV55" s="293"/>
      <c r="AW55" s="294"/>
      <c r="AY55" s="188"/>
      <c r="AZ55" s="189"/>
      <c r="BA55" s="189"/>
      <c r="BB55" s="189"/>
      <c r="BC55" s="190"/>
      <c r="BD55" s="687">
        <f t="shared" si="95"/>
        <v>9</v>
      </c>
      <c r="BE55" s="164" t="str">
        <f t="shared" si="71"/>
        <v>N/A</v>
      </c>
      <c r="BF55" s="185"/>
      <c r="BG55" s="182">
        <f t="shared" si="96"/>
        <v>9</v>
      </c>
      <c r="BH55" s="164" t="str">
        <f t="shared" si="73"/>
        <v>N/A</v>
      </c>
      <c r="BI55" s="185"/>
      <c r="BJ55" s="182">
        <f t="shared" si="97"/>
        <v>9</v>
      </c>
      <c r="BK55" s="164" t="str">
        <f t="shared" si="74"/>
        <v>N/A</v>
      </c>
      <c r="BL55" s="185"/>
      <c r="BO55" s="167"/>
      <c r="BP55" s="167"/>
      <c r="BQ55" s="167" t="str">
        <f t="shared" si="15"/>
        <v/>
      </c>
      <c r="BR55" s="167">
        <f t="shared" si="55"/>
        <v>9</v>
      </c>
      <c r="BS55" s="167">
        <f t="shared" si="56"/>
        <v>9</v>
      </c>
      <c r="BT55" s="167">
        <f t="shared" si="57"/>
        <v>9</v>
      </c>
      <c r="BW55" s="167" t="str">
        <f>D55</f>
        <v>Hea 04</v>
      </c>
      <c r="BX55" s="167" t="str">
        <f>IFERROR(VLOOKUP($E55,'Pre-Assessment Estimator'!$E$11:$AB$226,'Pre-Assessment Estimator'!AB$2,FALSE),"")</f>
        <v/>
      </c>
      <c r="BY55" s="230" t="str">
        <f>IFERROR(VLOOKUP($E55,'Pre-Assessment Estimator'!$E$11:$AI$226,'Pre-Assessment Estimator'!AI$2,FALSE),"")</f>
        <v/>
      </c>
      <c r="BZ55" s="167" t="str">
        <f>IFERROR(VLOOKUP($BX55,$E$293:$H$326,F$291,FALSE),"")</f>
        <v/>
      </c>
      <c r="CA55" s="680" t="s">
        <v>431</v>
      </c>
      <c r="CB55" s="167"/>
      <c r="CC55" s="96" t="str">
        <f>IFERROR(VLOOKUP($BX55,$E$293:$H$326,I$291,FALSE),"")</f>
        <v/>
      </c>
      <c r="CD55" s="96" t="s">
        <v>437</v>
      </c>
      <c r="CE55" s="167">
        <f t="shared" si="75"/>
        <v>1</v>
      </c>
      <c r="CG55" s="681">
        <f>IF($BX$5=ais_nei,CE55,IF(AND(CA55=$CA$4,BX55=$CC$4),0,BZ55))</f>
        <v>1</v>
      </c>
    </row>
    <row r="56" spans="1:85" x14ac:dyDescent="0.25">
      <c r="A56" s="96">
        <v>48</v>
      </c>
      <c r="B56" s="137" t="str">
        <f>D56</f>
        <v>Hea 05</v>
      </c>
      <c r="C56" s="137" t="str">
        <f>B56</f>
        <v>Hea 05</v>
      </c>
      <c r="D56" s="834" t="s">
        <v>121</v>
      </c>
      <c r="E56" s="832" t="s">
        <v>127</v>
      </c>
      <c r="F56" s="933">
        <f t="shared" ref="F56:R56" si="105">SUM(F57:F58)</f>
        <v>3</v>
      </c>
      <c r="G56" s="933">
        <f t="shared" si="105"/>
        <v>3</v>
      </c>
      <c r="H56" s="933">
        <f t="shared" si="105"/>
        <v>4</v>
      </c>
      <c r="I56" s="933">
        <f t="shared" si="105"/>
        <v>3</v>
      </c>
      <c r="J56" s="933">
        <f t="shared" si="105"/>
        <v>3</v>
      </c>
      <c r="K56" s="933">
        <f t="shared" si="105"/>
        <v>3</v>
      </c>
      <c r="L56" s="933">
        <f t="shared" si="105"/>
        <v>3</v>
      </c>
      <c r="M56" s="933">
        <f t="shared" si="105"/>
        <v>4</v>
      </c>
      <c r="N56" s="933">
        <f t="shared" si="105"/>
        <v>4</v>
      </c>
      <c r="O56" s="933">
        <f t="shared" si="105"/>
        <v>3</v>
      </c>
      <c r="P56" s="933">
        <f t="shared" si="105"/>
        <v>3</v>
      </c>
      <c r="Q56" s="933">
        <f t="shared" ref="Q56" si="106">SUM(Q57:Q58)</f>
        <v>3</v>
      </c>
      <c r="R56" s="933">
        <f t="shared" si="105"/>
        <v>3</v>
      </c>
      <c r="S56" s="667" t="s">
        <v>574</v>
      </c>
      <c r="T56" s="961">
        <f t="shared" ref="T56:T61" si="107">HLOOKUP($E$6,$F$9:$R$231,$A56,FALSE)</f>
        <v>3</v>
      </c>
      <c r="U56" s="222"/>
      <c r="V56" s="230"/>
      <c r="W56" s="230"/>
      <c r="X56" s="1098">
        <f>'Manuell filtrering og justering'!E21</f>
        <v>0</v>
      </c>
      <c r="Y56" s="963"/>
      <c r="Z56" s="1177">
        <f t="shared" ref="Z56" si="108">SUM(Z57:Z58)</f>
        <v>3</v>
      </c>
      <c r="AA56" s="963">
        <f t="shared" ref="AA56:AA61" si="109">IF(SUM(U56:Y56)&gt;T56,T56,SUM(U56:Y56))</f>
        <v>0</v>
      </c>
      <c r="AB56" s="1066">
        <f t="shared" ref="AB56" si="110">SUM(AB57:AB58)</f>
        <v>3</v>
      </c>
      <c r="AD56" s="171">
        <f t="shared" si="69"/>
        <v>2.5263157894736842E-2</v>
      </c>
      <c r="AE56" s="921">
        <f>SUM(AE57:AE58)</f>
        <v>0</v>
      </c>
      <c r="AF56" s="921">
        <f t="shared" ref="AF56:AG56" si="111">SUM(AF57:AF58)</f>
        <v>0</v>
      </c>
      <c r="AG56" s="921">
        <f t="shared" si="111"/>
        <v>0</v>
      </c>
      <c r="AI56" s="958">
        <f t="shared" ref="AI56:AK56" si="112">SUM(AI57:AI58)</f>
        <v>0</v>
      </c>
      <c r="AJ56" s="958">
        <f t="shared" si="112"/>
        <v>0</v>
      </c>
      <c r="AK56" s="958">
        <f t="shared" si="112"/>
        <v>0</v>
      </c>
      <c r="AM56" s="292"/>
      <c r="AN56" s="293"/>
      <c r="AO56" s="293"/>
      <c r="AP56" s="293"/>
      <c r="AQ56" s="294"/>
      <c r="AS56" s="292"/>
      <c r="AT56" s="293"/>
      <c r="AU56" s="293"/>
      <c r="AV56" s="293"/>
      <c r="AW56" s="294"/>
      <c r="AY56" s="188"/>
      <c r="AZ56" s="189"/>
      <c r="BA56" s="189"/>
      <c r="BB56" s="189"/>
      <c r="BC56" s="190"/>
      <c r="BD56" s="687">
        <f t="shared" si="95"/>
        <v>9</v>
      </c>
      <c r="BE56" s="164" t="str">
        <f t="shared" si="71"/>
        <v>N/A</v>
      </c>
      <c r="BF56" s="185"/>
      <c r="BG56" s="182">
        <f t="shared" si="96"/>
        <v>9</v>
      </c>
      <c r="BH56" s="164" t="str">
        <f t="shared" si="73"/>
        <v>N/A</v>
      </c>
      <c r="BI56" s="185"/>
      <c r="BJ56" s="182">
        <f t="shared" si="97"/>
        <v>9</v>
      </c>
      <c r="BK56" s="164" t="str">
        <f t="shared" si="74"/>
        <v>N/A</v>
      </c>
      <c r="BL56" s="185"/>
      <c r="BO56" s="167"/>
      <c r="BP56" s="167"/>
      <c r="BQ56" s="167" t="str">
        <f t="shared" si="15"/>
        <v/>
      </c>
      <c r="BR56" s="167">
        <f t="shared" si="55"/>
        <v>9</v>
      </c>
      <c r="BS56" s="167">
        <f t="shared" si="56"/>
        <v>9</v>
      </c>
      <c r="BT56" s="167">
        <f t="shared" si="57"/>
        <v>9</v>
      </c>
      <c r="BW56" s="167" t="str">
        <f>D56</f>
        <v>Hea 05</v>
      </c>
      <c r="BX56" s="167" t="str">
        <f>IFERROR(VLOOKUP($E56,'Pre-Assessment Estimator'!$E$11:$AB$226,'Pre-Assessment Estimator'!AB$2,FALSE),"")</f>
        <v>No</v>
      </c>
      <c r="BY56" s="167">
        <f>IFERROR(VLOOKUP($E56,'Pre-Assessment Estimator'!$E$11:$AI$226,'Pre-Assessment Estimator'!AI$2,FALSE),"")</f>
        <v>0</v>
      </c>
      <c r="BZ56" s="167">
        <f>IFERROR(VLOOKUP($BX56,$E$293:$H$326,F$291,FALSE),"")</f>
        <v>1</v>
      </c>
      <c r="CA56" s="167">
        <f>IFERROR(VLOOKUP($BX56,$E$293:$H$326,G$291,FALSE),"")</f>
        <v>0</v>
      </c>
      <c r="CB56" s="167"/>
      <c r="CC56" s="96" t="str">
        <f>IFERROR(VLOOKUP($BX56,$E$293:$H$326,I$291,FALSE),"")</f>
        <v/>
      </c>
    </row>
    <row r="57" spans="1:85" x14ac:dyDescent="0.25">
      <c r="A57" s="96">
        <v>49</v>
      </c>
      <c r="C57" s="96" t="str">
        <f t="shared" si="19"/>
        <v>Hea 05</v>
      </c>
      <c r="D57" s="163" t="s">
        <v>693</v>
      </c>
      <c r="E57" s="940" t="s">
        <v>615</v>
      </c>
      <c r="F57" s="767"/>
      <c r="G57" s="767"/>
      <c r="H57" s="767"/>
      <c r="I57" s="767"/>
      <c r="J57" s="767"/>
      <c r="K57" s="767"/>
      <c r="L57" s="767"/>
      <c r="M57" s="767"/>
      <c r="N57" s="767"/>
      <c r="O57" s="767"/>
      <c r="P57" s="767"/>
      <c r="Q57" s="767"/>
      <c r="R57" s="767"/>
      <c r="S57" s="667"/>
      <c r="T57" s="212">
        <f t="shared" si="107"/>
        <v>0</v>
      </c>
      <c r="U57" s="166"/>
      <c r="V57" s="167"/>
      <c r="W57" s="167"/>
      <c r="X57" s="168"/>
      <c r="Y57" s="169"/>
      <c r="Z57" s="1158"/>
      <c r="AA57" s="169">
        <f t="shared" si="109"/>
        <v>0</v>
      </c>
      <c r="AB57" s="170">
        <f>IF($AC$5='Manuell filtrering og justering'!$J$2,Z57,(T57-AA57))</f>
        <v>0</v>
      </c>
      <c r="AD57" s="171">
        <f t="shared" si="69"/>
        <v>0</v>
      </c>
      <c r="AE57" s="171">
        <f t="shared" si="87"/>
        <v>0</v>
      </c>
      <c r="AF57" s="171">
        <f t="shared" si="88"/>
        <v>0</v>
      </c>
      <c r="AG57" s="171">
        <f t="shared" si="89"/>
        <v>0</v>
      </c>
      <c r="AI57" s="172">
        <f>IF(VLOOKUP(E57,'Pre-Assessment Estimator'!$E$11:$Z$226,'Pre-Assessment Estimator'!$G$2,FALSE)&gt;AB57,AB57,VLOOKUP(E57,'Pre-Assessment Estimator'!$E$11:$Z$226,'Pre-Assessment Estimator'!$G$2,FALSE))</f>
        <v>0</v>
      </c>
      <c r="AJ57" s="172">
        <f>IF(VLOOKUP(E57,'Pre-Assessment Estimator'!$E$11:$Z$226,'Pre-Assessment Estimator'!$N$2,FALSE)&gt;AB57,AB57,VLOOKUP(E57,'Pre-Assessment Estimator'!$E$11:$Z$226,'Pre-Assessment Estimator'!$N$2,FALSE))</f>
        <v>0</v>
      </c>
      <c r="AK57" s="172">
        <f>IF(VLOOKUP(E57,'Pre-Assessment Estimator'!$E$11:$Z$226,'Pre-Assessment Estimator'!$U$2,FALSE)&gt;AB57,AB57,VLOOKUP(E57,'Pre-Assessment Estimator'!$E$11:$Z$226,'Pre-Assessment Estimator'!$U$2,FALSE))</f>
        <v>0</v>
      </c>
      <c r="AM57" s="292"/>
      <c r="AN57" s="293"/>
      <c r="AO57" s="293"/>
      <c r="AP57" s="293"/>
      <c r="AQ57" s="294"/>
      <c r="AS57" s="292"/>
      <c r="AT57" s="293"/>
      <c r="AU57" s="293"/>
      <c r="AV57" s="293"/>
      <c r="AW57" s="294"/>
      <c r="AY57" s="188"/>
      <c r="AZ57" s="189"/>
      <c r="BA57" s="189"/>
      <c r="BB57" s="189"/>
      <c r="BC57" s="190"/>
      <c r="BD57" s="687">
        <f t="shared" si="95"/>
        <v>9</v>
      </c>
      <c r="BE57" s="164" t="str">
        <f t="shared" si="71"/>
        <v>N/A</v>
      </c>
      <c r="BF57" s="185"/>
      <c r="BG57" s="182">
        <f t="shared" si="96"/>
        <v>9</v>
      </c>
      <c r="BH57" s="164" t="str">
        <f t="shared" si="73"/>
        <v>N/A</v>
      </c>
      <c r="BI57" s="185"/>
      <c r="BJ57" s="182">
        <f t="shared" si="97"/>
        <v>9</v>
      </c>
      <c r="BK57" s="164" t="str">
        <f t="shared" si="74"/>
        <v>N/A</v>
      </c>
      <c r="BL57" s="185"/>
      <c r="BO57" s="167"/>
      <c r="BP57" s="167"/>
      <c r="BQ57" s="167" t="str">
        <f t="shared" si="15"/>
        <v/>
      </c>
      <c r="BR57" s="167">
        <f t="shared" si="55"/>
        <v>9</v>
      </c>
      <c r="BS57" s="167">
        <f t="shared" si="56"/>
        <v>9</v>
      </c>
      <c r="BT57" s="167">
        <f t="shared" si="57"/>
        <v>9</v>
      </c>
      <c r="BW57" s="167"/>
      <c r="BX57" s="167"/>
      <c r="BY57" s="167"/>
      <c r="BZ57" s="167"/>
      <c r="CA57" s="167"/>
      <c r="CB57" s="167"/>
    </row>
    <row r="58" spans="1:85" x14ac:dyDescent="0.25">
      <c r="A58" s="96">
        <v>50</v>
      </c>
      <c r="B58" s="96" t="str">
        <f t="shared" ref="B58" si="113">$D$56&amp;D58</f>
        <v>Hea 05b</v>
      </c>
      <c r="C58" s="96" t="str">
        <f t="shared" si="19"/>
        <v>Hea 05</v>
      </c>
      <c r="D58" s="163" t="s">
        <v>696</v>
      </c>
      <c r="E58" s="1107" t="s">
        <v>616</v>
      </c>
      <c r="F58" s="775">
        <v>3</v>
      </c>
      <c r="G58" s="775">
        <v>3</v>
      </c>
      <c r="H58" s="1022">
        <v>4</v>
      </c>
      <c r="I58" s="775">
        <v>3</v>
      </c>
      <c r="J58" s="775">
        <v>3</v>
      </c>
      <c r="K58" s="775">
        <v>3</v>
      </c>
      <c r="L58" s="775">
        <v>3</v>
      </c>
      <c r="M58" s="1022">
        <v>4</v>
      </c>
      <c r="N58" s="1022">
        <v>4</v>
      </c>
      <c r="O58" s="775">
        <v>3</v>
      </c>
      <c r="P58" s="775">
        <v>3</v>
      </c>
      <c r="Q58" s="775">
        <v>3</v>
      </c>
      <c r="R58" s="775">
        <v>3</v>
      </c>
      <c r="S58" s="667"/>
      <c r="T58" s="212">
        <f t="shared" si="107"/>
        <v>3</v>
      </c>
      <c r="U58" s="166"/>
      <c r="V58" s="167"/>
      <c r="W58" s="167"/>
      <c r="X58" s="168"/>
      <c r="Y58" s="169">
        <f>IF($Y$4=$Y$6,T58,0)</f>
        <v>0</v>
      </c>
      <c r="Z58" s="1158">
        <f>VLOOKUP(B58,'Manuell filtrering og justering'!$A$7:$H$107,'Manuell filtrering og justering'!$H$1,FALSE)</f>
        <v>3</v>
      </c>
      <c r="AA58" s="169">
        <f t="shared" si="109"/>
        <v>0</v>
      </c>
      <c r="AB58" s="170">
        <f>IF($AC$5='Manuell filtrering og justering'!$J$2,Z58,(T58-AA58))</f>
        <v>3</v>
      </c>
      <c r="AD58" s="171">
        <f t="shared" si="69"/>
        <v>2.5263157894736842E-2</v>
      </c>
      <c r="AE58" s="171">
        <f t="shared" si="87"/>
        <v>0</v>
      </c>
      <c r="AF58" s="171">
        <f t="shared" si="88"/>
        <v>0</v>
      </c>
      <c r="AG58" s="171">
        <f t="shared" si="89"/>
        <v>0</v>
      </c>
      <c r="AI58" s="1067">
        <f>IF(AI237=AD_no,0,IF(VLOOKUP(E58,'Pre-Assessment Estimator'!$E$11:$Z$226,'Pre-Assessment Estimator'!$G$2,FALSE)&gt;AB58,AB58,VLOOKUP(E58,'Pre-Assessment Estimator'!$E$11:$Z$226,'Pre-Assessment Estimator'!$G$2,FALSE)))</f>
        <v>0</v>
      </c>
      <c r="AJ58" s="1067">
        <f>IF(AJ237=AD_no,0,IF(VLOOKUP(E58,'Pre-Assessment Estimator'!$E$11:$Z$226,'Pre-Assessment Estimator'!$N$2,FALSE)&gt;AB58,AB58,VLOOKUP(E58,'Pre-Assessment Estimator'!$E$11:$Z$226,'Pre-Assessment Estimator'!$N$2,FALSE)))</f>
        <v>0</v>
      </c>
      <c r="AK58" s="1067">
        <f>IF(AK237=AD_no,0,IF(VLOOKUP(E58,'Pre-Assessment Estimator'!$E$11:$Z$226,'Pre-Assessment Estimator'!$U$2,FALSE)&gt;AB58,AB58,VLOOKUP(E58,'Pre-Assessment Estimator'!$E$11:$Z$226,'Pre-Assessment Estimator'!$U$2,FALSE)))</f>
        <v>0</v>
      </c>
      <c r="AM58" s="292"/>
      <c r="AN58" s="293"/>
      <c r="AO58" s="293"/>
      <c r="AP58" s="293"/>
      <c r="AQ58" s="294"/>
      <c r="AS58" s="292"/>
      <c r="AT58" s="293"/>
      <c r="AU58" s="293"/>
      <c r="AV58" s="293"/>
      <c r="AW58" s="294"/>
      <c r="AY58" s="188"/>
      <c r="AZ58" s="189"/>
      <c r="BA58" s="189"/>
      <c r="BB58" s="189"/>
      <c r="BC58" s="190"/>
      <c r="BD58" s="687">
        <f t="shared" si="95"/>
        <v>9</v>
      </c>
      <c r="BE58" s="164" t="str">
        <f t="shared" si="71"/>
        <v>N/A</v>
      </c>
      <c r="BF58" s="185"/>
      <c r="BG58" s="182">
        <f t="shared" si="96"/>
        <v>9</v>
      </c>
      <c r="BH58" s="164" t="str">
        <f t="shared" si="73"/>
        <v>N/A</v>
      </c>
      <c r="BI58" s="185"/>
      <c r="BJ58" s="182">
        <f t="shared" si="97"/>
        <v>9</v>
      </c>
      <c r="BK58" s="164" t="str">
        <f t="shared" si="74"/>
        <v>N/A</v>
      </c>
      <c r="BL58" s="185"/>
      <c r="BO58" s="167"/>
      <c r="BP58" s="167"/>
      <c r="BQ58" s="167" t="str">
        <f t="shared" si="15"/>
        <v/>
      </c>
      <c r="BR58" s="167">
        <f t="shared" si="55"/>
        <v>9</v>
      </c>
      <c r="BS58" s="167">
        <f t="shared" si="56"/>
        <v>9</v>
      </c>
      <c r="BT58" s="167">
        <f t="shared" si="57"/>
        <v>9</v>
      </c>
      <c r="BW58" s="167"/>
      <c r="BX58" s="167"/>
      <c r="BY58" s="167"/>
      <c r="BZ58" s="167"/>
      <c r="CA58" s="167"/>
      <c r="CB58" s="167"/>
    </row>
    <row r="59" spans="1:85" x14ac:dyDescent="0.25">
      <c r="A59" s="96">
        <v>51</v>
      </c>
      <c r="B59" s="137" t="str">
        <f>D59</f>
        <v>Hea 06</v>
      </c>
      <c r="C59" s="137" t="str">
        <f>B59</f>
        <v>Hea 06</v>
      </c>
      <c r="D59" s="834" t="s">
        <v>122</v>
      </c>
      <c r="E59" s="832" t="s">
        <v>114</v>
      </c>
      <c r="F59" s="933">
        <f t="shared" ref="F59:R59" si="114">SUM(F60:F61)</f>
        <v>2</v>
      </c>
      <c r="G59" s="933">
        <f t="shared" si="114"/>
        <v>2</v>
      </c>
      <c r="H59" s="933">
        <f t="shared" si="114"/>
        <v>3</v>
      </c>
      <c r="I59" s="933">
        <f t="shared" si="114"/>
        <v>2</v>
      </c>
      <c r="J59" s="933">
        <f t="shared" si="114"/>
        <v>2</v>
      </c>
      <c r="K59" s="933">
        <f t="shared" si="114"/>
        <v>2</v>
      </c>
      <c r="L59" s="933">
        <f t="shared" si="114"/>
        <v>2</v>
      </c>
      <c r="M59" s="933">
        <f t="shared" si="114"/>
        <v>3</v>
      </c>
      <c r="N59" s="933">
        <f t="shared" si="114"/>
        <v>2</v>
      </c>
      <c r="O59" s="933">
        <f t="shared" si="114"/>
        <v>2</v>
      </c>
      <c r="P59" s="933">
        <f t="shared" si="114"/>
        <v>2</v>
      </c>
      <c r="Q59" s="933">
        <f t="shared" ref="Q59" si="115">SUM(Q60:Q61)</f>
        <v>2</v>
      </c>
      <c r="R59" s="933">
        <f t="shared" si="114"/>
        <v>2</v>
      </c>
      <c r="S59" s="959" t="s">
        <v>575</v>
      </c>
      <c r="T59" s="961">
        <f t="shared" si="107"/>
        <v>2</v>
      </c>
      <c r="U59" s="222"/>
      <c r="V59" s="230"/>
      <c r="W59" s="230"/>
      <c r="X59" s="1098">
        <f>'Manuell filtrering og justering'!E22</f>
        <v>0</v>
      </c>
      <c r="Y59" s="963"/>
      <c r="Z59" s="1177">
        <f t="shared" ref="Z59" si="116">SUM(Z60:Z61)</f>
        <v>3</v>
      </c>
      <c r="AA59" s="963">
        <f t="shared" si="109"/>
        <v>0</v>
      </c>
      <c r="AB59" s="1066">
        <f t="shared" ref="AB59" si="117">SUM(AB60:AB61)</f>
        <v>2</v>
      </c>
      <c r="AD59" s="171">
        <f t="shared" si="69"/>
        <v>1.6842105263157894E-2</v>
      </c>
      <c r="AE59" s="921">
        <f>SUM(AE60:AE61)</f>
        <v>0</v>
      </c>
      <c r="AF59" s="921">
        <f t="shared" ref="AF59:AG59" si="118">SUM(AF60:AF62)</f>
        <v>0</v>
      </c>
      <c r="AG59" s="921">
        <f t="shared" si="118"/>
        <v>0</v>
      </c>
      <c r="AI59" s="958">
        <f t="shared" ref="AI59:AK59" si="119">SUM(AI60:AI61)</f>
        <v>0</v>
      </c>
      <c r="AJ59" s="958">
        <f t="shared" si="119"/>
        <v>0</v>
      </c>
      <c r="AK59" s="958">
        <f t="shared" si="119"/>
        <v>0</v>
      </c>
      <c r="AM59" s="292"/>
      <c r="AN59" s="293"/>
      <c r="AO59" s="293"/>
      <c r="AP59" s="293"/>
      <c r="AQ59" s="294"/>
      <c r="AS59" s="292"/>
      <c r="AT59" s="293"/>
      <c r="AU59" s="293"/>
      <c r="AV59" s="293"/>
      <c r="AW59" s="294"/>
      <c r="AY59" s="188"/>
      <c r="AZ59" s="189"/>
      <c r="BA59" s="189"/>
      <c r="BB59" s="189"/>
      <c r="BC59" s="190"/>
      <c r="BD59" s="687">
        <f t="shared" si="95"/>
        <v>9</v>
      </c>
      <c r="BE59" s="164" t="str">
        <f t="shared" si="71"/>
        <v>N/A</v>
      </c>
      <c r="BF59" s="185"/>
      <c r="BG59" s="182">
        <f t="shared" si="96"/>
        <v>9</v>
      </c>
      <c r="BH59" s="164" t="str">
        <f t="shared" si="73"/>
        <v>N/A</v>
      </c>
      <c r="BI59" s="185"/>
      <c r="BJ59" s="182">
        <f t="shared" si="97"/>
        <v>9</v>
      </c>
      <c r="BK59" s="164" t="str">
        <f t="shared" si="74"/>
        <v>N/A</v>
      </c>
      <c r="BL59" s="185"/>
      <c r="BO59" s="167"/>
      <c r="BP59" s="167"/>
      <c r="BQ59" s="167" t="str">
        <f t="shared" si="15"/>
        <v/>
      </c>
      <c r="BR59" s="167">
        <f t="shared" si="55"/>
        <v>9</v>
      </c>
      <c r="BS59" s="167">
        <f t="shared" si="56"/>
        <v>9</v>
      </c>
      <c r="BT59" s="167">
        <f t="shared" si="57"/>
        <v>9</v>
      </c>
      <c r="BW59" s="167" t="str">
        <f>D59</f>
        <v>Hea 06</v>
      </c>
      <c r="BX59" s="167" t="str">
        <f>IFERROR(VLOOKUP($E59,'Pre-Assessment Estimator'!$E$11:$AB$226,'Pre-Assessment Estimator'!AB$2,FALSE),"")</f>
        <v>N/A</v>
      </c>
      <c r="BY59" s="167">
        <f>IFERROR(VLOOKUP($E59,'Pre-Assessment Estimator'!$E$11:$AI$226,'Pre-Assessment Estimator'!AI$2,FALSE),"")</f>
        <v>0</v>
      </c>
      <c r="BZ59" s="167">
        <f>IFERROR(VLOOKUP($BX59,$E$293:$H$326,F$291,FALSE),"")</f>
        <v>1</v>
      </c>
      <c r="CA59" s="167">
        <f>IFERROR(VLOOKUP($BX59,$E$293:$H$326,G$291,FALSE),"")</f>
        <v>0</v>
      </c>
      <c r="CB59" s="167"/>
      <c r="CC59" s="96" t="str">
        <f>IFERROR(VLOOKUP($BX59,$E$293:$H$326,I$291,FALSE),"")</f>
        <v/>
      </c>
    </row>
    <row r="60" spans="1:85" x14ac:dyDescent="0.25">
      <c r="A60" s="96">
        <v>52</v>
      </c>
      <c r="B60" s="96" t="str">
        <f t="shared" ref="B60:B61" si="120">$D$59&amp;D60</f>
        <v>Hea 06a</v>
      </c>
      <c r="C60" s="96" t="str">
        <f t="shared" si="19"/>
        <v>Hea 06</v>
      </c>
      <c r="D60" s="163" t="s">
        <v>693</v>
      </c>
      <c r="E60" s="1107" t="s">
        <v>617</v>
      </c>
      <c r="F60" s="775">
        <v>1</v>
      </c>
      <c r="G60" s="775">
        <v>1</v>
      </c>
      <c r="H60" s="1022">
        <v>2</v>
      </c>
      <c r="I60" s="775">
        <v>1</v>
      </c>
      <c r="J60" s="775">
        <v>1</v>
      </c>
      <c r="K60" s="775">
        <v>1</v>
      </c>
      <c r="L60" s="775">
        <v>1</v>
      </c>
      <c r="M60" s="1022">
        <v>2</v>
      </c>
      <c r="N60" s="775">
        <v>1</v>
      </c>
      <c r="O60" s="775">
        <v>1</v>
      </c>
      <c r="P60" s="775">
        <v>1</v>
      </c>
      <c r="Q60" s="775">
        <v>1</v>
      </c>
      <c r="R60" s="775">
        <v>1</v>
      </c>
      <c r="S60" s="795"/>
      <c r="T60" s="212">
        <f t="shared" si="107"/>
        <v>1</v>
      </c>
      <c r="U60" s="166">
        <f>IF(AND(T60=2,ADBT0=ADBT16,'Assessment Details'!F6&lt;&gt;'Assessment Details'!Z7),1,0)</f>
        <v>0</v>
      </c>
      <c r="V60" s="167"/>
      <c r="W60" s="167"/>
      <c r="X60" s="168"/>
      <c r="Y60" s="169">
        <f>IF($Y$4=$Y$6,T60,0)</f>
        <v>0</v>
      </c>
      <c r="Z60" s="1158">
        <f>VLOOKUP(B60,'Manuell filtrering og justering'!$A$7:$H$107,'Manuell filtrering og justering'!$H$1,FALSE)</f>
        <v>2</v>
      </c>
      <c r="AA60" s="169">
        <f t="shared" si="109"/>
        <v>0</v>
      </c>
      <c r="AB60" s="170">
        <f>IF($AC$5='Manuell filtrering og justering'!$J$2,Z60,(T60-AA60))</f>
        <v>1</v>
      </c>
      <c r="AD60" s="171">
        <f t="shared" si="69"/>
        <v>8.4210526315789472E-3</v>
      </c>
      <c r="AE60" s="171">
        <f t="shared" si="87"/>
        <v>0</v>
      </c>
      <c r="AF60" s="171">
        <f t="shared" si="88"/>
        <v>0</v>
      </c>
      <c r="AG60" s="171">
        <f t="shared" si="89"/>
        <v>0</v>
      </c>
      <c r="AI60" s="172">
        <f>IF(VLOOKUP(E60,'Pre-Assessment Estimator'!$E$11:$Z$226,'Pre-Assessment Estimator'!$G$2,FALSE)&gt;AB60,AB60,VLOOKUP(E60,'Pre-Assessment Estimator'!$E$11:$Z$226,'Pre-Assessment Estimator'!$G$2,FALSE))</f>
        <v>0</v>
      </c>
      <c r="AJ60" s="172">
        <f>IF(VLOOKUP(E60,'Pre-Assessment Estimator'!$E$11:$Z$226,'Pre-Assessment Estimator'!$N$2,FALSE)&gt;AB60,AB60,VLOOKUP(E60,'Pre-Assessment Estimator'!$E$11:$Z$226,'Pre-Assessment Estimator'!$N$2,FALSE))</f>
        <v>0</v>
      </c>
      <c r="AK60" s="172">
        <f>IF(VLOOKUP(E60,'Pre-Assessment Estimator'!$E$11:$Z$226,'Pre-Assessment Estimator'!$U$2,FALSE)&gt;AB60,AB60,VLOOKUP(E60,'Pre-Assessment Estimator'!$E$11:$Z$226,'Pre-Assessment Estimator'!$U$2,FALSE))</f>
        <v>0</v>
      </c>
      <c r="AM60" s="292"/>
      <c r="AN60" s="293"/>
      <c r="AO60" s="293"/>
      <c r="AP60" s="293"/>
      <c r="AQ60" s="294"/>
      <c r="AS60" s="292"/>
      <c r="AT60" s="293"/>
      <c r="AU60" s="293"/>
      <c r="AV60" s="293"/>
      <c r="AW60" s="294"/>
      <c r="AY60" s="188"/>
      <c r="AZ60" s="189"/>
      <c r="BA60" s="189"/>
      <c r="BB60" s="189"/>
      <c r="BC60" s="190"/>
      <c r="BD60" s="687">
        <f t="shared" si="95"/>
        <v>9</v>
      </c>
      <c r="BE60" s="164" t="str">
        <f t="shared" si="71"/>
        <v>N/A</v>
      </c>
      <c r="BF60" s="185"/>
      <c r="BG60" s="182">
        <f t="shared" si="96"/>
        <v>9</v>
      </c>
      <c r="BH60" s="164" t="str">
        <f t="shared" si="73"/>
        <v>N/A</v>
      </c>
      <c r="BI60" s="185"/>
      <c r="BJ60" s="182">
        <f t="shared" si="97"/>
        <v>9</v>
      </c>
      <c r="BK60" s="164" t="str">
        <f t="shared" si="74"/>
        <v>N/A</v>
      </c>
      <c r="BL60" s="185"/>
      <c r="BO60" s="167"/>
      <c r="BP60" s="167"/>
      <c r="BQ60" s="167" t="str">
        <f t="shared" si="15"/>
        <v/>
      </c>
      <c r="BR60" s="167">
        <f t="shared" si="55"/>
        <v>9</v>
      </c>
      <c r="BS60" s="167">
        <f t="shared" si="56"/>
        <v>9</v>
      </c>
      <c r="BT60" s="167">
        <f t="shared" si="57"/>
        <v>9</v>
      </c>
      <c r="BW60" s="167"/>
      <c r="BX60" s="167"/>
      <c r="BY60" s="167"/>
      <c r="BZ60" s="167"/>
      <c r="CA60" s="167"/>
      <c r="CB60" s="167"/>
    </row>
    <row r="61" spans="1:85" x14ac:dyDescent="0.25">
      <c r="A61" s="96">
        <v>53</v>
      </c>
      <c r="B61" s="96" t="str">
        <f t="shared" si="120"/>
        <v>Hea 06b</v>
      </c>
      <c r="C61" s="96" t="str">
        <f t="shared" si="19"/>
        <v>Hea 06</v>
      </c>
      <c r="D61" s="163" t="s">
        <v>696</v>
      </c>
      <c r="E61" s="1107" t="s">
        <v>618</v>
      </c>
      <c r="F61" s="775">
        <v>1</v>
      </c>
      <c r="G61" s="775">
        <v>1</v>
      </c>
      <c r="H61" s="775">
        <v>1</v>
      </c>
      <c r="I61" s="775">
        <v>1</v>
      </c>
      <c r="J61" s="775">
        <v>1</v>
      </c>
      <c r="K61" s="775">
        <v>1</v>
      </c>
      <c r="L61" s="775">
        <v>1</v>
      </c>
      <c r="M61" s="775">
        <v>1</v>
      </c>
      <c r="N61" s="775">
        <v>1</v>
      </c>
      <c r="O61" s="775">
        <v>1</v>
      </c>
      <c r="P61" s="775">
        <v>1</v>
      </c>
      <c r="Q61" s="775">
        <v>1</v>
      </c>
      <c r="R61" s="775">
        <v>1</v>
      </c>
      <c r="S61" s="795"/>
      <c r="T61" s="212">
        <f t="shared" si="107"/>
        <v>1</v>
      </c>
      <c r="U61" s="166"/>
      <c r="V61" s="167"/>
      <c r="W61" s="167"/>
      <c r="X61" s="168"/>
      <c r="Y61" s="169">
        <f>IF(OR($Y$4=$Y$5,$Y$4=$Y$6),T61,0)</f>
        <v>0</v>
      </c>
      <c r="Z61" s="1158">
        <f>VLOOKUP(B61,'Manuell filtrering og justering'!$A$7:$H$107,'Manuell filtrering og justering'!$H$1,FALSE)</f>
        <v>1</v>
      </c>
      <c r="AA61" s="169">
        <f t="shared" si="109"/>
        <v>0</v>
      </c>
      <c r="AB61" s="170">
        <f>IF($AC$5='Manuell filtrering og justering'!$J$2,Z61,(T61-AA61))</f>
        <v>1</v>
      </c>
      <c r="AD61" s="171">
        <f t="shared" si="69"/>
        <v>8.4210526315789472E-3</v>
      </c>
      <c r="AE61" s="171">
        <f t="shared" si="87"/>
        <v>0</v>
      </c>
      <c r="AF61" s="171">
        <f t="shared" si="88"/>
        <v>0</v>
      </c>
      <c r="AG61" s="171">
        <f t="shared" si="89"/>
        <v>0</v>
      </c>
      <c r="AI61" s="172">
        <f>IF(VLOOKUP(E61,'Pre-Assessment Estimator'!$E$11:$Z$226,'Pre-Assessment Estimator'!$G$2,FALSE)&gt;AB61,AB61,VLOOKUP(E61,'Pre-Assessment Estimator'!$E$11:$Z$226,'Pre-Assessment Estimator'!$G$2,FALSE))</f>
        <v>0</v>
      </c>
      <c r="AJ61" s="172">
        <f>IF(VLOOKUP(E61,'Pre-Assessment Estimator'!$E$11:$Z$226,'Pre-Assessment Estimator'!$N$2,FALSE)&gt;AB61,AB61,VLOOKUP(E61,'Pre-Assessment Estimator'!$E$11:$Z$226,'Pre-Assessment Estimator'!$N$2,FALSE))</f>
        <v>0</v>
      </c>
      <c r="AK61" s="172">
        <f>IF(VLOOKUP(E61,'Pre-Assessment Estimator'!$E$11:$Z$226,'Pre-Assessment Estimator'!$U$2,FALSE)&gt;AB61,AB61,VLOOKUP(E61,'Pre-Assessment Estimator'!$E$11:$Z$226,'Pre-Assessment Estimator'!$U$2,FALSE))</f>
        <v>0</v>
      </c>
      <c r="AM61" s="292"/>
      <c r="AN61" s="293"/>
      <c r="AO61" s="293"/>
      <c r="AP61" s="293"/>
      <c r="AQ61" s="294"/>
      <c r="AS61" s="292"/>
      <c r="AT61" s="293"/>
      <c r="AU61" s="293"/>
      <c r="AV61" s="293"/>
      <c r="AW61" s="294"/>
      <c r="AY61" s="188"/>
      <c r="AZ61" s="189"/>
      <c r="BA61" s="189"/>
      <c r="BB61" s="189"/>
      <c r="BC61" s="190"/>
      <c r="BD61" s="687">
        <f t="shared" si="95"/>
        <v>9</v>
      </c>
      <c r="BE61" s="164" t="str">
        <f t="shared" si="71"/>
        <v>N/A</v>
      </c>
      <c r="BF61" s="185"/>
      <c r="BG61" s="182">
        <f t="shared" si="96"/>
        <v>9</v>
      </c>
      <c r="BH61" s="164" t="str">
        <f t="shared" si="73"/>
        <v>N/A</v>
      </c>
      <c r="BI61" s="185"/>
      <c r="BJ61" s="182">
        <f t="shared" si="97"/>
        <v>9</v>
      </c>
      <c r="BK61" s="164" t="str">
        <f t="shared" si="74"/>
        <v>N/A</v>
      </c>
      <c r="BL61" s="185"/>
      <c r="BO61" s="167"/>
      <c r="BP61" s="167"/>
      <c r="BQ61" s="167" t="str">
        <f t="shared" si="15"/>
        <v/>
      </c>
      <c r="BR61" s="167">
        <f t="shared" si="55"/>
        <v>9</v>
      </c>
      <c r="BS61" s="167">
        <f t="shared" si="56"/>
        <v>9</v>
      </c>
      <c r="BT61" s="167">
        <f t="shared" si="57"/>
        <v>9</v>
      </c>
      <c r="BW61" s="167"/>
      <c r="BX61" s="167"/>
      <c r="BY61" s="167"/>
      <c r="BZ61" s="167"/>
      <c r="CA61" s="167"/>
      <c r="CB61" s="167"/>
    </row>
    <row r="62" spans="1:85" x14ac:dyDescent="0.25">
      <c r="A62" s="96">
        <v>54</v>
      </c>
      <c r="D62" s="701" t="s">
        <v>123</v>
      </c>
      <c r="E62" s="700"/>
      <c r="F62" s="935"/>
      <c r="G62" s="935"/>
      <c r="H62" s="935"/>
      <c r="I62" s="935"/>
      <c r="J62" s="935"/>
      <c r="K62" s="935"/>
      <c r="L62" s="935"/>
      <c r="M62" s="935"/>
      <c r="N62" s="935"/>
      <c r="O62" s="935"/>
      <c r="P62" s="935"/>
      <c r="Q62" s="935"/>
      <c r="R62" s="935"/>
      <c r="T62" s="962"/>
      <c r="U62" s="701"/>
      <c r="V62" s="700"/>
      <c r="W62" s="700"/>
      <c r="X62" s="955"/>
      <c r="Y62" s="956"/>
      <c r="Z62" s="1158"/>
      <c r="AA62" s="956"/>
      <c r="AB62" s="957"/>
      <c r="AD62" s="171">
        <f t="shared" si="69"/>
        <v>0</v>
      </c>
      <c r="AE62" s="960"/>
      <c r="AF62" s="960"/>
      <c r="AG62" s="960"/>
      <c r="AI62" s="720"/>
      <c r="AJ62" s="720"/>
      <c r="AK62" s="720"/>
      <c r="AM62" s="292"/>
      <c r="AN62" s="293"/>
      <c r="AO62" s="293"/>
      <c r="AP62" s="293"/>
      <c r="AQ62" s="294"/>
      <c r="AS62" s="292"/>
      <c r="AT62" s="293"/>
      <c r="AU62" s="293"/>
      <c r="AV62" s="293"/>
      <c r="AW62" s="294"/>
      <c r="AY62" s="188"/>
      <c r="AZ62" s="189"/>
      <c r="BA62" s="189"/>
      <c r="BB62" s="189"/>
      <c r="BC62" s="190"/>
      <c r="BD62" s="687">
        <f t="shared" si="95"/>
        <v>9</v>
      </c>
      <c r="BE62" s="164" t="str">
        <f t="shared" si="71"/>
        <v>N/A</v>
      </c>
      <c r="BF62" s="185"/>
      <c r="BG62" s="182">
        <f t="shared" si="96"/>
        <v>9</v>
      </c>
      <c r="BH62" s="164" t="str">
        <f t="shared" si="73"/>
        <v>N/A</v>
      </c>
      <c r="BI62" s="185"/>
      <c r="BJ62" s="182">
        <f t="shared" si="97"/>
        <v>9</v>
      </c>
      <c r="BK62" s="164" t="str">
        <f t="shared" si="74"/>
        <v>N/A</v>
      </c>
      <c r="BL62" s="185"/>
      <c r="BO62" s="189"/>
      <c r="BP62" s="167"/>
      <c r="BQ62" s="167" t="str">
        <f t="shared" si="15"/>
        <v/>
      </c>
      <c r="BR62" s="167">
        <f t="shared" si="55"/>
        <v>9</v>
      </c>
      <c r="BS62" s="167">
        <f t="shared" si="56"/>
        <v>9</v>
      </c>
      <c r="BT62" s="167">
        <f t="shared" si="57"/>
        <v>9</v>
      </c>
      <c r="BW62" s="167" t="str">
        <f>D62</f>
        <v>Hea 07</v>
      </c>
      <c r="BX62" s="167" t="str">
        <f>IFERROR(VLOOKUP($E62,'Pre-Assessment Estimator'!$E$11:$AB$226,'Pre-Assessment Estimator'!AB$2,FALSE),"")</f>
        <v/>
      </c>
      <c r="BY62" s="167" t="str">
        <f>IFERROR(VLOOKUP($E62,'Pre-Assessment Estimator'!$E$11:$AI$226,'Pre-Assessment Estimator'!AI$2,FALSE),"")</f>
        <v/>
      </c>
      <c r="BZ62" s="167" t="str">
        <f>IFERROR(VLOOKUP($BX62,$E$293:$H$326,F$291,FALSE),"")</f>
        <v/>
      </c>
      <c r="CA62" s="167" t="str">
        <f>IFERROR(VLOOKUP($BX62,$E$293:$H$326,G$291,FALSE),"")</f>
        <v/>
      </c>
      <c r="CB62" s="167"/>
      <c r="CC62" s="96" t="str">
        <f>IFERROR(VLOOKUP($BX62,$E$293:$H$326,I$291,FALSE),"")</f>
        <v/>
      </c>
    </row>
    <row r="63" spans="1:85" x14ac:dyDescent="0.25">
      <c r="A63" s="96">
        <v>55</v>
      </c>
      <c r="B63" s="137" t="str">
        <f>D63</f>
        <v>Hea 08</v>
      </c>
      <c r="C63" s="137" t="str">
        <f>B63</f>
        <v>Hea 08</v>
      </c>
      <c r="D63" s="834" t="s">
        <v>124</v>
      </c>
      <c r="E63" s="832" t="s">
        <v>116</v>
      </c>
      <c r="F63" s="933">
        <f t="shared" ref="F63:R63" si="121">SUM(F64:F65)</f>
        <v>0</v>
      </c>
      <c r="G63" s="933">
        <f t="shared" si="121"/>
        <v>0</v>
      </c>
      <c r="H63" s="933">
        <f t="shared" si="121"/>
        <v>1</v>
      </c>
      <c r="I63" s="933">
        <f t="shared" si="121"/>
        <v>0</v>
      </c>
      <c r="J63" s="933">
        <f t="shared" si="121"/>
        <v>0</v>
      </c>
      <c r="K63" s="933">
        <f t="shared" si="121"/>
        <v>0</v>
      </c>
      <c r="L63" s="933">
        <f t="shared" si="121"/>
        <v>0</v>
      </c>
      <c r="M63" s="933">
        <f t="shared" si="121"/>
        <v>0</v>
      </c>
      <c r="N63" s="933">
        <f t="shared" si="121"/>
        <v>0</v>
      </c>
      <c r="O63" s="933">
        <f t="shared" si="121"/>
        <v>0</v>
      </c>
      <c r="P63" s="933">
        <f t="shared" si="121"/>
        <v>0</v>
      </c>
      <c r="Q63" s="933">
        <f t="shared" ref="Q63" si="122">SUM(Q64:Q65)</f>
        <v>0</v>
      </c>
      <c r="R63" s="933">
        <f t="shared" si="121"/>
        <v>0</v>
      </c>
      <c r="T63" s="961">
        <f>HLOOKUP($E$6,$F$9:$R$231,$A63,FALSE)</f>
        <v>0</v>
      </c>
      <c r="U63" s="222"/>
      <c r="V63" s="230"/>
      <c r="W63" s="230"/>
      <c r="X63" s="1098">
        <f>'Manuell filtrering og justering'!E24</f>
        <v>0</v>
      </c>
      <c r="Y63" s="963"/>
      <c r="Z63" s="1177">
        <f t="shared" ref="Z63" si="123">SUM(Z64:Z65)</f>
        <v>0</v>
      </c>
      <c r="AA63" s="963">
        <f>IF(SUM(U63:Y63)&gt;T63,T63,SUM(U63:Y63))</f>
        <v>0</v>
      </c>
      <c r="AB63" s="1066">
        <f>SUM(AB64)</f>
        <v>0</v>
      </c>
      <c r="AD63" s="171">
        <f t="shared" si="69"/>
        <v>0</v>
      </c>
      <c r="AE63" s="921">
        <f>SUM(AE64)</f>
        <v>0</v>
      </c>
      <c r="AF63" s="921">
        <f t="shared" ref="AF63:AG63" si="124">SUM(AF64)</f>
        <v>0</v>
      </c>
      <c r="AG63" s="921">
        <f t="shared" si="124"/>
        <v>0</v>
      </c>
      <c r="AI63" s="958">
        <f t="shared" ref="AI63:AK63" si="125">SUM(AI64:AI65)</f>
        <v>0</v>
      </c>
      <c r="AJ63" s="958">
        <f t="shared" si="125"/>
        <v>0</v>
      </c>
      <c r="AK63" s="958">
        <f t="shared" si="125"/>
        <v>0</v>
      </c>
      <c r="AM63" s="291"/>
      <c r="AN63" s="181"/>
      <c r="AO63" s="181"/>
      <c r="AP63" s="181"/>
      <c r="AQ63" s="186"/>
      <c r="AS63" s="291"/>
      <c r="AT63" s="181"/>
      <c r="AU63" s="181"/>
      <c r="AV63" s="181"/>
      <c r="AW63" s="294"/>
      <c r="AY63" s="182"/>
      <c r="AZ63" s="183"/>
      <c r="BA63" s="183"/>
      <c r="BB63" s="183"/>
      <c r="BC63" s="187"/>
      <c r="BD63" s="687">
        <f t="shared" si="95"/>
        <v>9</v>
      </c>
      <c r="BE63" s="164" t="str">
        <f t="shared" si="71"/>
        <v>N/A</v>
      </c>
      <c r="BF63" s="185"/>
      <c r="BG63" s="182">
        <f t="shared" si="96"/>
        <v>9</v>
      </c>
      <c r="BH63" s="164" t="str">
        <f t="shared" si="73"/>
        <v>N/A</v>
      </c>
      <c r="BI63" s="185"/>
      <c r="BJ63" s="182">
        <f t="shared" si="97"/>
        <v>9</v>
      </c>
      <c r="BK63" s="164" t="str">
        <f t="shared" si="74"/>
        <v>N/A</v>
      </c>
      <c r="BL63" s="185"/>
      <c r="BO63" s="1144"/>
      <c r="BP63" s="167"/>
      <c r="BQ63" s="167" t="str">
        <f t="shared" si="15"/>
        <v/>
      </c>
      <c r="BR63" s="167">
        <f t="shared" si="55"/>
        <v>9</v>
      </c>
      <c r="BS63" s="167">
        <f t="shared" si="56"/>
        <v>9</v>
      </c>
      <c r="BT63" s="167">
        <f t="shared" si="57"/>
        <v>9</v>
      </c>
      <c r="BW63" s="167" t="str">
        <f>D63</f>
        <v>Hea 08</v>
      </c>
      <c r="BX63" s="167" t="str">
        <f>IFERROR(VLOOKUP($E63,'Pre-Assessment Estimator'!$E$11:$AB$226,'Pre-Assessment Estimator'!AB$2,FALSE),"")</f>
        <v>N/A</v>
      </c>
      <c r="BY63" s="167">
        <f>IFERROR(VLOOKUP($E63,'Pre-Assessment Estimator'!$E$11:$AI$226,'Pre-Assessment Estimator'!AI$2,FALSE),"")</f>
        <v>0</v>
      </c>
      <c r="BZ63" s="167">
        <f>IFERROR(VLOOKUP($BX63,$E$293:$H$326,F$291,FALSE),"")</f>
        <v>1</v>
      </c>
      <c r="CA63" s="167">
        <f>IFERROR(VLOOKUP($BX63,$E$293:$H$326,G$291,FALSE),"")</f>
        <v>0</v>
      </c>
      <c r="CB63" s="167"/>
      <c r="CC63" s="96" t="str">
        <f>IFERROR(VLOOKUP($BX63,$E$293:$H$326,I$291,FALSE),"")</f>
        <v/>
      </c>
    </row>
    <row r="64" spans="1:85" x14ac:dyDescent="0.25">
      <c r="A64" s="96">
        <v>56</v>
      </c>
      <c r="B64" s="96" t="str">
        <f>$D$63&amp;D64</f>
        <v>Hea 08a</v>
      </c>
      <c r="C64" s="96" t="str">
        <f t="shared" si="19"/>
        <v>Hea 08</v>
      </c>
      <c r="D64" s="192" t="s">
        <v>693</v>
      </c>
      <c r="E64" s="1107" t="s">
        <v>619</v>
      </c>
      <c r="F64" s="941">
        <v>0</v>
      </c>
      <c r="G64" s="941">
        <v>0</v>
      </c>
      <c r="H64" s="941">
        <v>1</v>
      </c>
      <c r="I64" s="941">
        <v>0</v>
      </c>
      <c r="J64" s="941">
        <v>0</v>
      </c>
      <c r="K64" s="941">
        <v>0</v>
      </c>
      <c r="L64" s="941">
        <v>0</v>
      </c>
      <c r="M64" s="941">
        <v>0</v>
      </c>
      <c r="N64" s="941">
        <v>0</v>
      </c>
      <c r="O64" s="941">
        <v>0</v>
      </c>
      <c r="P64" s="941">
        <v>0</v>
      </c>
      <c r="Q64" s="941">
        <v>0</v>
      </c>
      <c r="R64" s="941">
        <v>0</v>
      </c>
      <c r="T64" s="212">
        <f>HLOOKUP($E$6,$F$9:$R$231,$A64,FALSE)</f>
        <v>0</v>
      </c>
      <c r="U64" s="166"/>
      <c r="V64" s="167"/>
      <c r="W64" s="167"/>
      <c r="X64" s="168"/>
      <c r="Y64" s="169"/>
      <c r="Z64" s="1158">
        <f>VLOOKUP(B64,'Manuell filtrering og justering'!$A$7:$H$107,'Manuell filtrering og justering'!$H$1,FALSE)</f>
        <v>0</v>
      </c>
      <c r="AA64" s="169">
        <f>IF(SUM(U64:Y64)&gt;T64,T64,SUM(U64:Y64))</f>
        <v>0</v>
      </c>
      <c r="AB64" s="170">
        <f>IF($AC$5='Manuell filtrering og justering'!$J$2,Z64,(T64-AA64))</f>
        <v>0</v>
      </c>
      <c r="AD64" s="171">
        <f t="shared" si="69"/>
        <v>0</v>
      </c>
      <c r="AE64" s="171">
        <f t="shared" si="87"/>
        <v>0</v>
      </c>
      <c r="AF64" s="171">
        <f t="shared" si="88"/>
        <v>0</v>
      </c>
      <c r="AG64" s="171">
        <f t="shared" si="89"/>
        <v>0</v>
      </c>
      <c r="AI64" s="172">
        <f>IF(VLOOKUP(E64,'Pre-Assessment Estimator'!$E$11:$Z$226,'Pre-Assessment Estimator'!$G$2,FALSE)&gt;AB64,AB64,VLOOKUP(E64,'Pre-Assessment Estimator'!$E$11:$Z$226,'Pre-Assessment Estimator'!$G$2,FALSE))</f>
        <v>0</v>
      </c>
      <c r="AJ64" s="172">
        <f>IF(VLOOKUP(E64,'Pre-Assessment Estimator'!$E$11:$Z$226,'Pre-Assessment Estimator'!$N$2,FALSE)&gt;AB64,AB64,VLOOKUP(E64,'Pre-Assessment Estimator'!$E$11:$Z$226,'Pre-Assessment Estimator'!$N$2,FALSE))</f>
        <v>0</v>
      </c>
      <c r="AK64" s="172">
        <f>IF(VLOOKUP(E64,'Pre-Assessment Estimator'!$E$11:$Z$226,'Pre-Assessment Estimator'!$U$2,FALSE)&gt;AB64,AB64,VLOOKUP(E64,'Pre-Assessment Estimator'!$E$11:$Z$226,'Pre-Assessment Estimator'!$U$2,FALSE))</f>
        <v>0</v>
      </c>
      <c r="AM64" s="840"/>
      <c r="AN64" s="841"/>
      <c r="AO64" s="841"/>
      <c r="AP64" s="841"/>
      <c r="AQ64" s="842"/>
      <c r="AS64" s="840"/>
      <c r="AT64" s="841"/>
      <c r="AU64" s="841"/>
      <c r="AV64" s="841"/>
      <c r="AW64" s="843"/>
      <c r="AY64" s="844"/>
      <c r="AZ64" s="845"/>
      <c r="BA64" s="845"/>
      <c r="BB64" s="845"/>
      <c r="BC64" s="846"/>
      <c r="BD64" s="687">
        <f t="shared" si="95"/>
        <v>9</v>
      </c>
      <c r="BE64" s="164" t="str">
        <f t="shared" si="71"/>
        <v>N/A</v>
      </c>
      <c r="BF64" s="185"/>
      <c r="BG64" s="182">
        <f t="shared" si="96"/>
        <v>9</v>
      </c>
      <c r="BH64" s="164" t="str">
        <f t="shared" si="73"/>
        <v>N/A</v>
      </c>
      <c r="BI64" s="185"/>
      <c r="BJ64" s="182">
        <f t="shared" si="97"/>
        <v>9</v>
      </c>
      <c r="BK64" s="164" t="str">
        <f t="shared" si="74"/>
        <v>N/A</v>
      </c>
      <c r="BL64" s="847"/>
      <c r="BO64" s="1144"/>
      <c r="BP64" s="167"/>
      <c r="BQ64" s="167" t="str">
        <f t="shared" si="15"/>
        <v/>
      </c>
      <c r="BR64" s="167">
        <f t="shared" si="55"/>
        <v>9</v>
      </c>
      <c r="BS64" s="167">
        <f t="shared" si="56"/>
        <v>9</v>
      </c>
      <c r="BT64" s="167">
        <f t="shared" si="57"/>
        <v>9</v>
      </c>
      <c r="BW64" s="193"/>
      <c r="BX64" s="193"/>
      <c r="BY64" s="193"/>
      <c r="BZ64" s="193"/>
      <c r="CA64" s="193"/>
      <c r="CB64" s="193"/>
    </row>
    <row r="65" spans="1:87" ht="15.75" thickBot="1" x14ac:dyDescent="0.3">
      <c r="A65" s="96">
        <v>57</v>
      </c>
      <c r="D65" s="703" t="s">
        <v>125</v>
      </c>
      <c r="E65" s="704"/>
      <c r="F65" s="936"/>
      <c r="G65" s="936"/>
      <c r="H65" s="936"/>
      <c r="I65" s="936"/>
      <c r="J65" s="936"/>
      <c r="K65" s="936"/>
      <c r="L65" s="936"/>
      <c r="M65" s="936"/>
      <c r="N65" s="936"/>
      <c r="O65" s="936"/>
      <c r="P65" s="936"/>
      <c r="Q65" s="936"/>
      <c r="R65" s="936"/>
      <c r="T65" s="962"/>
      <c r="U65" s="701"/>
      <c r="V65" s="700"/>
      <c r="W65" s="700"/>
      <c r="X65" s="955"/>
      <c r="Y65" s="1179"/>
      <c r="Z65" s="1158"/>
      <c r="AA65" s="956"/>
      <c r="AB65" s="957"/>
      <c r="AD65" s="171">
        <f t="shared" si="69"/>
        <v>0</v>
      </c>
      <c r="AE65" s="960"/>
      <c r="AF65" s="960"/>
      <c r="AG65" s="960"/>
      <c r="AI65" s="720"/>
      <c r="AJ65" s="720"/>
      <c r="AK65" s="720"/>
      <c r="AM65" s="301"/>
      <c r="AN65" s="302"/>
      <c r="AO65" s="302"/>
      <c r="AP65" s="302"/>
      <c r="AQ65" s="303"/>
      <c r="AS65" s="301"/>
      <c r="AT65" s="302"/>
      <c r="AU65" s="302"/>
      <c r="AV65" s="302"/>
      <c r="AW65" s="303"/>
      <c r="AY65" s="198"/>
      <c r="AZ65" s="224"/>
      <c r="BA65" s="224"/>
      <c r="BB65" s="224"/>
      <c r="BC65" s="225"/>
      <c r="BD65" s="198">
        <f t="shared" si="60"/>
        <v>9</v>
      </c>
      <c r="BE65" s="164" t="str">
        <f t="shared" si="71"/>
        <v>N/A</v>
      </c>
      <c r="BF65" s="200"/>
      <c r="BG65" s="198">
        <f t="shared" si="72"/>
        <v>9</v>
      </c>
      <c r="BH65" s="164" t="str">
        <f t="shared" si="73"/>
        <v>N/A</v>
      </c>
      <c r="BI65" s="200"/>
      <c r="BJ65" s="198">
        <f t="shared" si="28"/>
        <v>9</v>
      </c>
      <c r="BK65" s="164" t="str">
        <f t="shared" si="74"/>
        <v>N/A</v>
      </c>
      <c r="BL65" s="200"/>
      <c r="BO65" s="1145"/>
      <c r="BP65" s="167"/>
      <c r="BQ65" s="167" t="str">
        <f t="shared" si="15"/>
        <v/>
      </c>
      <c r="BR65" s="167">
        <f t="shared" si="55"/>
        <v>9</v>
      </c>
      <c r="BS65" s="167">
        <f t="shared" si="56"/>
        <v>9</v>
      </c>
      <c r="BT65" s="167">
        <f t="shared" si="57"/>
        <v>9</v>
      </c>
      <c r="BW65" s="193" t="str">
        <f>D65</f>
        <v>Hea 09</v>
      </c>
      <c r="BX65" s="193" t="str">
        <f>IFERROR(VLOOKUP($E65,'Pre-Assessment Estimator'!$E$11:$AB$226,'Pre-Assessment Estimator'!AB$2,FALSE),"")</f>
        <v/>
      </c>
      <c r="BY65" s="193" t="str">
        <f>IFERROR(VLOOKUP($E65,'Pre-Assessment Estimator'!$E$11:$AI$226,'Pre-Assessment Estimator'!AI$2,FALSE),"")</f>
        <v/>
      </c>
      <c r="BZ65" s="193" t="str">
        <f t="shared" ref="BZ65:CA69" si="126">IFERROR(VLOOKUP($BX65,$E$293:$H$326,F$291,FALSE),"")</f>
        <v/>
      </c>
      <c r="CA65" s="193" t="str">
        <f t="shared" si="126"/>
        <v/>
      </c>
      <c r="CB65" s="193"/>
      <c r="CC65" s="96" t="str">
        <f>IFERROR(VLOOKUP($BX65,$E$293:$H$326,I$291,FALSE),"")</f>
        <v/>
      </c>
    </row>
    <row r="66" spans="1:87" ht="15.75" thickBot="1" x14ac:dyDescent="0.3">
      <c r="A66" s="96">
        <v>58</v>
      </c>
      <c r="B66" s="96" t="s">
        <v>883</v>
      </c>
      <c r="D66" s="201"/>
      <c r="E66" s="202" t="s">
        <v>214</v>
      </c>
      <c r="F66" s="773">
        <f>F39+F46+F51+F56+F59+F63</f>
        <v>19</v>
      </c>
      <c r="G66" s="773">
        <f t="shared" ref="G66:R66" si="127">G39+G46+G51+G56+G59+G63</f>
        <v>19</v>
      </c>
      <c r="H66" s="773">
        <f t="shared" si="127"/>
        <v>20</v>
      </c>
      <c r="I66" s="773">
        <f t="shared" si="127"/>
        <v>19</v>
      </c>
      <c r="J66" s="773">
        <f t="shared" si="127"/>
        <v>19</v>
      </c>
      <c r="K66" s="773">
        <f t="shared" si="127"/>
        <v>19</v>
      </c>
      <c r="L66" s="773">
        <f t="shared" si="127"/>
        <v>19</v>
      </c>
      <c r="M66" s="773">
        <f t="shared" si="127"/>
        <v>21</v>
      </c>
      <c r="N66" s="773">
        <f t="shared" si="127"/>
        <v>20</v>
      </c>
      <c r="O66" s="773">
        <f t="shared" si="127"/>
        <v>19</v>
      </c>
      <c r="P66" s="773">
        <f t="shared" si="127"/>
        <v>19</v>
      </c>
      <c r="Q66" s="773">
        <f t="shared" ref="Q66" si="128">Q39+Q46+Q51+Q56+Q59+Q63</f>
        <v>19</v>
      </c>
      <c r="R66" s="773">
        <f t="shared" si="127"/>
        <v>19</v>
      </c>
      <c r="T66" s="226">
        <f>HLOOKUP($E$6,$F$9:$R$231,$A66,FALSE)</f>
        <v>19</v>
      </c>
      <c r="U66" s="204"/>
      <c r="V66" s="205"/>
      <c r="W66" s="205"/>
      <c r="X66" s="205"/>
      <c r="Y66" s="1178"/>
      <c r="Z66" s="206"/>
      <c r="AA66" s="773">
        <f t="shared" ref="AA66:AG66" si="129">AA39+AA46+AA51+AA56+AA59+AA63</f>
        <v>0</v>
      </c>
      <c r="AB66" s="773">
        <f t="shared" si="129"/>
        <v>19</v>
      </c>
      <c r="AD66" s="208">
        <f t="shared" si="129"/>
        <v>0.16000000000000003</v>
      </c>
      <c r="AE66" s="208">
        <f t="shared" si="129"/>
        <v>0</v>
      </c>
      <c r="AF66" s="208">
        <f t="shared" si="129"/>
        <v>0</v>
      </c>
      <c r="AG66" s="208">
        <f t="shared" si="129"/>
        <v>0</v>
      </c>
      <c r="AI66" s="78">
        <f t="shared" ref="AI66:AK66" si="130">AI39+AI46+AI51+AI56+AI59+AI63</f>
        <v>0</v>
      </c>
      <c r="AJ66" s="78">
        <f t="shared" si="130"/>
        <v>0</v>
      </c>
      <c r="AK66" s="78">
        <f t="shared" si="130"/>
        <v>0</v>
      </c>
      <c r="AM66" s="139"/>
      <c r="AN66" s="139"/>
      <c r="AO66" s="139"/>
      <c r="AP66" s="139"/>
      <c r="AQ66" s="139"/>
      <c r="AS66" s="139"/>
      <c r="AT66" s="139"/>
      <c r="AU66" s="139"/>
      <c r="AV66" s="139"/>
      <c r="AW66" s="139"/>
      <c r="AY66" s="97"/>
      <c r="AZ66" s="209"/>
      <c r="BA66" s="97"/>
      <c r="BB66" s="97"/>
      <c r="BC66" s="97"/>
      <c r="BW66" s="202"/>
      <c r="BX66" s="202" t="str">
        <f>IFERROR(VLOOKUP($E66,'Pre-Assessment Estimator'!$E$11:$AB$226,'Pre-Assessment Estimator'!AB$2,FALSE),"")</f>
        <v/>
      </c>
      <c r="BY66" s="202" t="str">
        <f>IFERROR(VLOOKUP($E66,'Pre-Assessment Estimator'!$E$11:$AI$226,'Pre-Assessment Estimator'!AI$2,FALSE),"")</f>
        <v/>
      </c>
      <c r="BZ66" s="202" t="str">
        <f t="shared" si="126"/>
        <v/>
      </c>
      <c r="CA66" s="202" t="str">
        <f t="shared" si="126"/>
        <v/>
      </c>
      <c r="CB66" s="202"/>
      <c r="CC66" s="96" t="str">
        <f>IFERROR(VLOOKUP($BX66,$E$293:$H$326,I$291,FALSE),"")</f>
        <v/>
      </c>
    </row>
    <row r="67" spans="1:87" ht="15.75" thickBot="1" x14ac:dyDescent="0.3">
      <c r="A67" s="96">
        <v>59</v>
      </c>
      <c r="AI67" s="3"/>
      <c r="AJ67" s="3"/>
      <c r="AK67" s="3"/>
      <c r="AM67" s="139"/>
      <c r="AN67" s="139"/>
      <c r="AO67" s="139"/>
      <c r="AP67" s="139"/>
      <c r="AQ67" s="139"/>
      <c r="AS67" s="139"/>
      <c r="AT67" s="139"/>
      <c r="AU67" s="139"/>
      <c r="AV67" s="139"/>
      <c r="AW67" s="139"/>
      <c r="AY67" s="97"/>
      <c r="AZ67" s="97"/>
      <c r="BA67" s="97"/>
      <c r="BB67" s="97"/>
      <c r="BC67" s="97"/>
      <c r="BX67" s="96" t="str">
        <f>IFERROR(VLOOKUP($E67,'Pre-Assessment Estimator'!$E$11:$AB$226,'Pre-Assessment Estimator'!AB$2,FALSE),"")</f>
        <v/>
      </c>
      <c r="BY67" s="96" t="str">
        <f>IFERROR(VLOOKUP($E67,'Pre-Assessment Estimator'!$E$11:$AI$226,'Pre-Assessment Estimator'!AI$2,FALSE),"")</f>
        <v/>
      </c>
      <c r="BZ67" s="96" t="str">
        <f t="shared" si="126"/>
        <v/>
      </c>
      <c r="CA67" s="96" t="str">
        <f t="shared" si="126"/>
        <v/>
      </c>
      <c r="CC67" s="96" t="str">
        <f>IFERROR(VLOOKUP($BX67,$E$293:$H$326,I$291,FALSE),"")</f>
        <v/>
      </c>
    </row>
    <row r="68" spans="1:87" ht="60.75" thickBot="1" x14ac:dyDescent="0.3">
      <c r="A68" s="96">
        <v>60</v>
      </c>
      <c r="D68" s="145"/>
      <c r="E68" s="146" t="s">
        <v>66</v>
      </c>
      <c r="F68" s="1241" t="str">
        <f>$F$9</f>
        <v>Office</v>
      </c>
      <c r="G68" s="1241" t="str">
        <f>$G$9</f>
        <v>Retail</v>
      </c>
      <c r="H68" s="1245" t="str">
        <f>$H$9</f>
        <v>Residential</v>
      </c>
      <c r="I68" s="1241" t="str">
        <f>$I$9</f>
        <v>Industrial</v>
      </c>
      <c r="J68" s="1243" t="str">
        <f>$J$9</f>
        <v>Healthcare</v>
      </c>
      <c r="K68" s="1243" t="str">
        <f>$K$9</f>
        <v>Prison</v>
      </c>
      <c r="L68" s="1243" t="str">
        <f>$L$9</f>
        <v>Law Court</v>
      </c>
      <c r="M68" s="1247" t="str">
        <f>$M$9</f>
        <v>Residential institution (long term stay)</v>
      </c>
      <c r="N68" s="918" t="str">
        <f>$N$9</f>
        <v>Residential institution (short term stay)</v>
      </c>
      <c r="O68" s="918" t="str">
        <f>$O$9</f>
        <v>Non-residential institution</v>
      </c>
      <c r="P68" s="918" t="str">
        <f>$P$9</f>
        <v>Assembly and leisure</v>
      </c>
      <c r="Q68" s="1243" t="str">
        <f>$Q$9</f>
        <v>Education</v>
      </c>
      <c r="R68" s="857" t="str">
        <f>$R$9</f>
        <v>Other</v>
      </c>
      <c r="T68" s="138" t="str">
        <f>$E$6</f>
        <v>Office</v>
      </c>
      <c r="U68" s="210"/>
      <c r="V68" s="211"/>
      <c r="W68" s="211"/>
      <c r="X68" s="211"/>
      <c r="Y68" s="1165" t="s">
        <v>412</v>
      </c>
      <c r="Z68" s="347" t="s">
        <v>335</v>
      </c>
      <c r="AA68" s="150" t="s">
        <v>214</v>
      </c>
      <c r="AB68" s="59" t="s">
        <v>15</v>
      </c>
      <c r="AI68" s="42"/>
      <c r="AJ68" s="60"/>
      <c r="AK68" s="60"/>
      <c r="AM68" s="139"/>
      <c r="AN68" s="139"/>
      <c r="AO68" s="139"/>
      <c r="AP68" s="139"/>
      <c r="AQ68" s="139"/>
      <c r="AS68" s="139"/>
      <c r="AT68" s="139"/>
      <c r="AU68" s="139"/>
      <c r="AV68" s="139"/>
      <c r="AW68" s="139"/>
      <c r="AY68" s="97"/>
      <c r="AZ68" s="97"/>
      <c r="BA68" s="97"/>
      <c r="BB68" s="97"/>
      <c r="BC68" s="97"/>
      <c r="BO68" s="60"/>
      <c r="BP68" s="60"/>
      <c r="BQ68" s="60"/>
      <c r="BR68" s="60"/>
      <c r="BS68" s="60"/>
      <c r="BT68" s="60"/>
      <c r="BW68" s="146"/>
      <c r="BX68" s="146" t="str">
        <f>E68</f>
        <v>Energy</v>
      </c>
      <c r="BY68" s="146">
        <f>IFERROR(VLOOKUP($E68,'Pre-Assessment Estimator'!$E$11:$AI$226,'Pre-Assessment Estimator'!AI$2,FALSE),"")</f>
        <v>0</v>
      </c>
      <c r="BZ68" s="146" t="str">
        <f t="shared" si="126"/>
        <v/>
      </c>
      <c r="CA68" s="146" t="str">
        <f t="shared" si="126"/>
        <v/>
      </c>
      <c r="CB68" s="146"/>
      <c r="CC68" s="96" t="str">
        <f>IFERROR(VLOOKUP($BX68,$E$293:$H$326,I$291,FALSE),"")</f>
        <v/>
      </c>
    </row>
    <row r="69" spans="1:87" x14ac:dyDescent="0.25">
      <c r="A69" s="96">
        <v>61</v>
      </c>
      <c r="B69" s="137" t="str">
        <f>D69</f>
        <v>Ene 01</v>
      </c>
      <c r="C69" s="137" t="str">
        <f>B69</f>
        <v>Ene 01</v>
      </c>
      <c r="D69" s="833" t="s">
        <v>135</v>
      </c>
      <c r="E69" s="831" t="s">
        <v>128</v>
      </c>
      <c r="F69" s="933">
        <f t="shared" ref="F69:R69" si="131">SUM(F70:F74)</f>
        <v>12</v>
      </c>
      <c r="G69" s="933">
        <f t="shared" si="131"/>
        <v>12</v>
      </c>
      <c r="H69" s="933">
        <f t="shared" si="131"/>
        <v>12</v>
      </c>
      <c r="I69" s="933">
        <f t="shared" si="131"/>
        <v>12</v>
      </c>
      <c r="J69" s="933">
        <f t="shared" si="131"/>
        <v>12</v>
      </c>
      <c r="K69" s="933">
        <f t="shared" si="131"/>
        <v>12</v>
      </c>
      <c r="L69" s="933">
        <f t="shared" si="131"/>
        <v>12</v>
      </c>
      <c r="M69" s="933">
        <f t="shared" si="131"/>
        <v>12</v>
      </c>
      <c r="N69" s="933">
        <f t="shared" si="131"/>
        <v>12</v>
      </c>
      <c r="O69" s="933">
        <f t="shared" si="131"/>
        <v>12</v>
      </c>
      <c r="P69" s="933">
        <f t="shared" si="131"/>
        <v>12</v>
      </c>
      <c r="Q69" s="933">
        <f t="shared" ref="Q69" si="132">SUM(Q70:Q74)</f>
        <v>12</v>
      </c>
      <c r="R69" s="933">
        <f t="shared" si="131"/>
        <v>12</v>
      </c>
      <c r="T69" s="150">
        <f t="shared" ref="T69:T81" si="133">HLOOKUP($E$6,$F$9:$R$231,$A69,FALSE)</f>
        <v>12</v>
      </c>
      <c r="U69" s="222"/>
      <c r="V69" s="230"/>
      <c r="W69" s="230"/>
      <c r="X69" s="230">
        <f>'Manuell filtrering og justering'!E29</f>
        <v>0</v>
      </c>
      <c r="Y69" s="230"/>
      <c r="Z69" s="958">
        <f t="shared" ref="Z69:AB69" si="134">SUM(Z70:Z74)</f>
        <v>24</v>
      </c>
      <c r="AA69" s="963">
        <f t="shared" ref="AA69:AA79" si="135">IF(SUM(U69:Y69)&gt;T69,T69,SUM(U69:Y69))</f>
        <v>0</v>
      </c>
      <c r="AB69" s="1066">
        <f t="shared" si="134"/>
        <v>12</v>
      </c>
      <c r="AD69" s="171">
        <f t="shared" ref="AD69:AD96" si="136">(Ene_Weight/Ene_Credits)*AB69</f>
        <v>6.2222222222222234E-2</v>
      </c>
      <c r="AE69" s="921">
        <f>SUM(AE70:AE74)</f>
        <v>0</v>
      </c>
      <c r="AF69" s="921">
        <f t="shared" ref="AF69:AG69" si="137">SUM(AF70:AF74)</f>
        <v>0</v>
      </c>
      <c r="AG69" s="921">
        <f t="shared" si="137"/>
        <v>0</v>
      </c>
      <c r="AI69" s="958">
        <f t="shared" ref="AI69:AK69" si="138">SUM(AI70:AI74)</f>
        <v>0</v>
      </c>
      <c r="AJ69" s="958">
        <f t="shared" si="138"/>
        <v>0</v>
      </c>
      <c r="AK69" s="958">
        <f t="shared" si="138"/>
        <v>0</v>
      </c>
      <c r="AM69" s="173"/>
      <c r="AN69" s="290"/>
      <c r="AO69" s="290"/>
      <c r="AP69" s="299"/>
      <c r="AQ69" s="300"/>
      <c r="AS69" s="298"/>
      <c r="AT69" s="299"/>
      <c r="AU69" s="299"/>
      <c r="AV69" s="299"/>
      <c r="AW69" s="300"/>
      <c r="AY69" s="174"/>
      <c r="AZ69" s="175"/>
      <c r="BA69" s="175"/>
      <c r="BB69" s="175"/>
      <c r="BC69" s="228"/>
      <c r="BD69" s="174">
        <f t="shared" si="60"/>
        <v>9</v>
      </c>
      <c r="BE69" s="164" t="str">
        <f t="shared" ref="BE69:BE96" si="139">VLOOKUP(BD69,$BO$284:$BT$290,6,FALSE)</f>
        <v>N/A</v>
      </c>
      <c r="BF69" s="178"/>
      <c r="BG69" s="174">
        <f t="shared" ref="BG69:BG96" si="140">IF(BC69=0,9,IF(AJ69&gt;=BC69,5,IF(AJ69&gt;=BB69,4,IF(AJ69&gt;=BA69,3,IF(AJ69&gt;=AZ69,2,IF(AJ69&lt;AY69,0,1))))))</f>
        <v>9</v>
      </c>
      <c r="BH69" s="164" t="str">
        <f t="shared" ref="BH69:BH96" si="141">VLOOKUP(BG69,$BO$284:$BT$290,6,FALSE)</f>
        <v>N/A</v>
      </c>
      <c r="BI69" s="178"/>
      <c r="BJ69" s="174">
        <f t="shared" si="28"/>
        <v>9</v>
      </c>
      <c r="BK69" s="164" t="str">
        <f t="shared" ref="BK69:BK96" si="142">VLOOKUP(BJ69,$BO$284:$BT$290,6,FALSE)</f>
        <v>N/A</v>
      </c>
      <c r="BL69" s="178"/>
      <c r="BO69" s="167"/>
      <c r="BP69" s="167"/>
      <c r="BQ69" s="167" t="str">
        <f t="shared" si="15"/>
        <v/>
      </c>
      <c r="BR69" s="167">
        <f t="shared" si="55"/>
        <v>9</v>
      </c>
      <c r="BS69" s="167">
        <f t="shared" si="56"/>
        <v>9</v>
      </c>
      <c r="BT69" s="167">
        <f t="shared" si="57"/>
        <v>9</v>
      </c>
      <c r="BW69" s="164" t="str">
        <f>D69</f>
        <v>Ene 01</v>
      </c>
      <c r="BX69" s="164" t="str">
        <f>IFERROR(VLOOKUP($E69,'Pre-Assessment Estimator'!$E$11:$AB$226,'Pre-Assessment Estimator'!AB$2,FALSE),"")</f>
        <v>No</v>
      </c>
      <c r="BY69" s="164">
        <f>IFERROR(VLOOKUP($E69,'Pre-Assessment Estimator'!$E$11:$AI$226,'Pre-Assessment Estimator'!AI$2,FALSE),"")</f>
        <v>0</v>
      </c>
      <c r="BZ69" s="164">
        <f t="shared" si="126"/>
        <v>1</v>
      </c>
      <c r="CA69" s="164">
        <f t="shared" si="126"/>
        <v>0</v>
      </c>
      <c r="CB69" s="164"/>
      <c r="CC69" s="96" t="str">
        <f>IFERROR(VLOOKUP($BX69,$E$293:$H$326,I$291,FALSE),"")</f>
        <v/>
      </c>
    </row>
    <row r="70" spans="1:87" x14ac:dyDescent="0.25">
      <c r="A70" s="96">
        <v>62</v>
      </c>
      <c r="B70" s="96" t="str">
        <f t="shared" ref="B70:B74" si="143">$D$69&amp;D70</f>
        <v>Ene 01a</v>
      </c>
      <c r="C70" s="96" t="str">
        <f t="shared" si="19"/>
        <v>Ene 01</v>
      </c>
      <c r="D70" s="163" t="s">
        <v>693</v>
      </c>
      <c r="E70" s="917" t="s">
        <v>620</v>
      </c>
      <c r="F70" s="775">
        <v>2</v>
      </c>
      <c r="G70" s="775">
        <v>2</v>
      </c>
      <c r="H70" s="775">
        <v>2</v>
      </c>
      <c r="I70" s="775">
        <v>2</v>
      </c>
      <c r="J70" s="775">
        <v>2</v>
      </c>
      <c r="K70" s="775">
        <v>2</v>
      </c>
      <c r="L70" s="775">
        <v>2</v>
      </c>
      <c r="M70" s="775">
        <v>2</v>
      </c>
      <c r="N70" s="775">
        <v>2</v>
      </c>
      <c r="O70" s="775">
        <v>2</v>
      </c>
      <c r="P70" s="775">
        <v>2</v>
      </c>
      <c r="Q70" s="775">
        <v>2</v>
      </c>
      <c r="R70" s="775">
        <v>2</v>
      </c>
      <c r="T70" s="221">
        <f t="shared" si="133"/>
        <v>2</v>
      </c>
      <c r="U70" s="166"/>
      <c r="V70" s="167"/>
      <c r="W70" s="167"/>
      <c r="X70" s="167"/>
      <c r="Y70" s="168"/>
      <c r="Z70" s="168">
        <f>VLOOKUP(B70,'Manuell filtrering og justering'!$A$7:$H$107,'Manuell filtrering og justering'!$H$1,FALSE)</f>
        <v>0</v>
      </c>
      <c r="AA70" s="169">
        <f t="shared" si="135"/>
        <v>0</v>
      </c>
      <c r="AB70" s="170">
        <f>IF($AC$5='Manuell filtrering og justering'!$J$2,Z70,(T70-AA70))</f>
        <v>2</v>
      </c>
      <c r="AD70" s="171">
        <f t="shared" si="136"/>
        <v>1.0370370370370372E-2</v>
      </c>
      <c r="AE70" s="171">
        <f t="shared" ref="AE70:AE96" si="144">IF(AB70=0,0,(AD70/AB70)*AI70)</f>
        <v>0</v>
      </c>
      <c r="AF70" s="171">
        <f t="shared" ref="AF70:AF96" si="145">IF(AB70=0,0,(AD70/AB70)*AJ70)</f>
        <v>0</v>
      </c>
      <c r="AG70" s="171">
        <f t="shared" ref="AG70:AG96" si="146">IF(AB70=0,0,(AD70/AB70)*AK70)</f>
        <v>0</v>
      </c>
      <c r="AI70" s="1067">
        <f>IF(OR($AB$52=0,AND($AB$52&gt;0,AI52=$AB$52)),IF(VLOOKUP(E70,'Pre-Assessment Estimator'!$E$11:$Z$226,'Pre-Assessment Estimator'!$G$2,FALSE)&gt;AB70,AB70,VLOOKUP(E70,'Pre-Assessment Estimator'!$E$11:$Z$226,'Pre-Assessment Estimator'!$G$2,FALSE)),0)</f>
        <v>0</v>
      </c>
      <c r="AJ70" s="1067">
        <f>IF(OR($AB$52=0,AND($AB$52&gt;0,AJ52=$AB$52)),IF(VLOOKUP(E70,'Pre-Assessment Estimator'!$E$11:$Z$226,'Pre-Assessment Estimator'!$N$2,FALSE)&gt;AB70,AB70,VLOOKUP(E70,'Pre-Assessment Estimator'!$E$11:$Z$226,'Pre-Assessment Estimator'!$N$2,FALSE)),0)</f>
        <v>0</v>
      </c>
      <c r="AK70" s="1067">
        <f>IF(OR($AB$52=0,AND($AB$52&gt;0,AK52=$AB$52)),IF(VLOOKUP(E70,'Pre-Assessment Estimator'!$E$11:$Z$226,'Pre-Assessment Estimator'!$U$2,FALSE)&gt;AB70,AB70,VLOOKUP(E70,'Pre-Assessment Estimator'!$E$11:$Z$226,'Pre-Assessment Estimator'!$U$2,FALSE)),0)</f>
        <v>0</v>
      </c>
      <c r="AM70" s="826"/>
      <c r="AN70" s="827"/>
      <c r="AO70" s="827"/>
      <c r="AP70" s="836"/>
      <c r="AQ70" s="837"/>
      <c r="AS70" s="835"/>
      <c r="AT70" s="836"/>
      <c r="AU70" s="836"/>
      <c r="AV70" s="836"/>
      <c r="AW70" s="837"/>
      <c r="AY70" s="828"/>
      <c r="AZ70" s="829"/>
      <c r="BA70" s="829"/>
      <c r="BB70" s="829"/>
      <c r="BC70" s="848"/>
      <c r="BD70" s="182">
        <f t="shared" ref="BD70:BD74" si="147">IF(BC70=0,9,IF((AI70-CG70)&gt;=BC70,5,IF((AI70-CG70)&gt;=BB70,4,IF((AI70-CG70)&gt;=BA70,3,IF((AI70-CG70)&gt;=AZ70,2,IF((AI70-CG70)&lt;AY70,0,1))))))</f>
        <v>9</v>
      </c>
      <c r="BE70" s="164" t="str">
        <f t="shared" si="139"/>
        <v>N/A</v>
      </c>
      <c r="BF70" s="185"/>
      <c r="BG70" s="182">
        <f t="shared" ref="BG70:BG74" si="148">IF(BC70=0,9,IF((AJ70-CG70)&gt;=BC70,5,IF((AJ70-CG70)&gt;=BB70,4,IF((AJ70-CG70)&gt;=BA70,3,IF((AJ70-CG70)&gt;=AZ70,2,IF((AJ70-CG70)&lt;AY70,0,1))))))</f>
        <v>9</v>
      </c>
      <c r="BH70" s="164" t="str">
        <f t="shared" si="141"/>
        <v>N/A</v>
      </c>
      <c r="BI70" s="185"/>
      <c r="BJ70" s="182">
        <f t="shared" ref="BJ70:BJ74" si="149">IF(BC70=0,9,IF((AK70-CG70)&gt;=BC70,5,IF((AK70-CG70)&gt;=BB70,4,IF((AK70-CG70)&gt;=BA70,3,IF((AK70-CG70)&gt;=AZ70,2,IF((AK70-CG70)&lt;AY70,0,1))))))</f>
        <v>9</v>
      </c>
      <c r="BK70" s="164" t="str">
        <f t="shared" si="142"/>
        <v>N/A</v>
      </c>
      <c r="BL70" s="830"/>
      <c r="BO70" s="167"/>
      <c r="BP70" s="167"/>
      <c r="BQ70" s="167" t="str">
        <f t="shared" si="15"/>
        <v/>
      </c>
      <c r="BR70" s="167">
        <f t="shared" si="55"/>
        <v>9</v>
      </c>
      <c r="BS70" s="167">
        <f t="shared" si="56"/>
        <v>9</v>
      </c>
      <c r="BT70" s="167">
        <f t="shared" si="57"/>
        <v>9</v>
      </c>
      <c r="BW70" s="164"/>
      <c r="BX70" s="164"/>
      <c r="BY70" s="164"/>
      <c r="BZ70" s="164"/>
      <c r="CA70" s="164"/>
      <c r="CB70" s="164"/>
    </row>
    <row r="71" spans="1:87" x14ac:dyDescent="0.25">
      <c r="A71" s="96">
        <v>63</v>
      </c>
      <c r="B71" s="96" t="str">
        <f t="shared" si="143"/>
        <v>Ene 01b</v>
      </c>
      <c r="C71" s="96" t="str">
        <f t="shared" si="19"/>
        <v>Ene 01</v>
      </c>
      <c r="D71" s="163" t="s">
        <v>696</v>
      </c>
      <c r="E71" s="1107" t="s">
        <v>621</v>
      </c>
      <c r="F71" s="775">
        <v>1</v>
      </c>
      <c r="G71" s="775">
        <v>1</v>
      </c>
      <c r="H71" s="775">
        <v>1</v>
      </c>
      <c r="I71" s="775">
        <v>1</v>
      </c>
      <c r="J71" s="775">
        <v>1</v>
      </c>
      <c r="K71" s="775">
        <v>1</v>
      </c>
      <c r="L71" s="775">
        <v>1</v>
      </c>
      <c r="M71" s="775">
        <v>1</v>
      </c>
      <c r="N71" s="775">
        <v>1</v>
      </c>
      <c r="O71" s="775">
        <v>1</v>
      </c>
      <c r="P71" s="775">
        <v>1</v>
      </c>
      <c r="Q71" s="775">
        <v>1</v>
      </c>
      <c r="R71" s="775">
        <v>1</v>
      </c>
      <c r="T71" s="221">
        <f t="shared" si="133"/>
        <v>1</v>
      </c>
      <c r="U71" s="166"/>
      <c r="V71" s="167"/>
      <c r="W71" s="167"/>
      <c r="X71" s="167"/>
      <c r="Y71" s="168"/>
      <c r="Z71" s="168">
        <f>VLOOKUP(B71,'Manuell filtrering og justering'!$A$7:$H$107,'Manuell filtrering og justering'!$H$1,FALSE)</f>
        <v>1</v>
      </c>
      <c r="AA71" s="169">
        <f t="shared" si="135"/>
        <v>0</v>
      </c>
      <c r="AB71" s="170">
        <f>IF($AC$5='Manuell filtrering og justering'!$J$2,Z71,(T71-AA71))</f>
        <v>1</v>
      </c>
      <c r="AD71" s="171">
        <f t="shared" si="136"/>
        <v>5.1851851851851859E-3</v>
      </c>
      <c r="AE71" s="171">
        <f t="shared" si="144"/>
        <v>0</v>
      </c>
      <c r="AF71" s="171">
        <f t="shared" si="145"/>
        <v>0</v>
      </c>
      <c r="AG71" s="171">
        <f t="shared" si="146"/>
        <v>0</v>
      </c>
      <c r="AI71" s="172">
        <f>IF(VLOOKUP(E71,'Pre-Assessment Estimator'!$E$11:$Z$226,'Pre-Assessment Estimator'!$G$2,FALSE)&gt;AB71,AB71,VLOOKUP(E71,'Pre-Assessment Estimator'!$E$11:$Z$226,'Pre-Assessment Estimator'!$G$2,FALSE))</f>
        <v>0</v>
      </c>
      <c r="AJ71" s="172">
        <f>IF(VLOOKUP(E71,'Pre-Assessment Estimator'!$E$11:$Z$226,'Pre-Assessment Estimator'!$N$2,FALSE)&gt;AB71,AB71,VLOOKUP(E71,'Pre-Assessment Estimator'!$E$11:$Z$226,'Pre-Assessment Estimator'!$N$2,FALSE))</f>
        <v>0</v>
      </c>
      <c r="AK71" s="172">
        <f>IF(VLOOKUP(E71,'Pre-Assessment Estimator'!$E$11:$Z$226,'Pre-Assessment Estimator'!$U$2,FALSE)&gt;AB71,AB71,VLOOKUP(E71,'Pre-Assessment Estimator'!$E$11:$Z$226,'Pre-Assessment Estimator'!$U$2,FALSE))</f>
        <v>0</v>
      </c>
      <c r="AM71" s="826"/>
      <c r="AN71" s="827"/>
      <c r="AO71" s="827"/>
      <c r="AP71" s="836"/>
      <c r="AQ71" s="837"/>
      <c r="AS71" s="835"/>
      <c r="AT71" s="836"/>
      <c r="AU71" s="836"/>
      <c r="AV71" s="836"/>
      <c r="AW71" s="837"/>
      <c r="AY71" s="828"/>
      <c r="AZ71" s="829"/>
      <c r="BA71" s="829"/>
      <c r="BB71" s="829"/>
      <c r="BC71" s="848"/>
      <c r="BD71" s="182">
        <f t="shared" si="147"/>
        <v>9</v>
      </c>
      <c r="BE71" s="164" t="str">
        <f t="shared" si="139"/>
        <v>N/A</v>
      </c>
      <c r="BF71" s="185"/>
      <c r="BG71" s="182">
        <f t="shared" si="148"/>
        <v>9</v>
      </c>
      <c r="BH71" s="164" t="str">
        <f t="shared" si="141"/>
        <v>N/A</v>
      </c>
      <c r="BI71" s="185"/>
      <c r="BJ71" s="182">
        <f t="shared" si="149"/>
        <v>9</v>
      </c>
      <c r="BK71" s="164" t="str">
        <f t="shared" si="142"/>
        <v>N/A</v>
      </c>
      <c r="BL71" s="830"/>
      <c r="BO71" s="167"/>
      <c r="BP71" s="167"/>
      <c r="BQ71" s="167" t="str">
        <f t="shared" si="15"/>
        <v/>
      </c>
      <c r="BR71" s="167">
        <f t="shared" si="55"/>
        <v>9</v>
      </c>
      <c r="BS71" s="167">
        <f t="shared" si="56"/>
        <v>9</v>
      </c>
      <c r="BT71" s="167">
        <f t="shared" si="57"/>
        <v>9</v>
      </c>
      <c r="BW71" s="164"/>
      <c r="BX71" s="164"/>
      <c r="BY71" s="164"/>
      <c r="BZ71" s="164"/>
      <c r="CA71" s="164"/>
      <c r="CB71" s="164"/>
    </row>
    <row r="72" spans="1:87" x14ac:dyDescent="0.25">
      <c r="A72" s="96">
        <v>64</v>
      </c>
      <c r="B72" s="96" t="str">
        <f t="shared" si="143"/>
        <v>Ene 01c</v>
      </c>
      <c r="C72" s="96" t="str">
        <f t="shared" si="19"/>
        <v>Ene 01</v>
      </c>
      <c r="D72" s="163" t="s">
        <v>697</v>
      </c>
      <c r="E72" s="1107" t="s">
        <v>622</v>
      </c>
      <c r="F72" s="775">
        <v>4</v>
      </c>
      <c r="G72" s="775">
        <v>4</v>
      </c>
      <c r="H72" s="775">
        <v>4</v>
      </c>
      <c r="I72" s="775">
        <v>4</v>
      </c>
      <c r="J72" s="775">
        <v>4</v>
      </c>
      <c r="K72" s="775">
        <v>4</v>
      </c>
      <c r="L72" s="775">
        <v>4</v>
      </c>
      <c r="M72" s="775">
        <v>4</v>
      </c>
      <c r="N72" s="775">
        <v>4</v>
      </c>
      <c r="O72" s="775">
        <v>4</v>
      </c>
      <c r="P72" s="775">
        <v>4</v>
      </c>
      <c r="Q72" s="775">
        <v>4</v>
      </c>
      <c r="R72" s="775">
        <v>4</v>
      </c>
      <c r="T72" s="221">
        <f t="shared" si="133"/>
        <v>4</v>
      </c>
      <c r="U72" s="166"/>
      <c r="V72" s="167"/>
      <c r="W72" s="167"/>
      <c r="X72" s="167"/>
      <c r="Y72" s="168"/>
      <c r="Z72" s="168">
        <f>VLOOKUP(B72,'Manuell filtrering og justering'!$A$7:$H$107,'Manuell filtrering og justering'!$H$1,FALSE)</f>
        <v>22</v>
      </c>
      <c r="AA72" s="169">
        <f t="shared" si="135"/>
        <v>0</v>
      </c>
      <c r="AB72" s="170">
        <f>IF($AC$5='Manuell filtrering og justering'!$J$2,Z72,(T72-AA72))</f>
        <v>4</v>
      </c>
      <c r="AD72" s="171">
        <f t="shared" si="136"/>
        <v>2.0740740740740744E-2</v>
      </c>
      <c r="AE72" s="171">
        <f t="shared" si="144"/>
        <v>0</v>
      </c>
      <c r="AF72" s="171">
        <f t="shared" si="145"/>
        <v>0</v>
      </c>
      <c r="AG72" s="171">
        <f t="shared" si="146"/>
        <v>0</v>
      </c>
      <c r="AI72" s="172">
        <f>IF(VLOOKUP(E72,'Pre-Assessment Estimator'!$E$11:$Z$226,'Pre-Assessment Estimator'!$G$2,FALSE)&gt;AB72,AB72,VLOOKUP(E72,'Pre-Assessment Estimator'!$E$11:$Z$226,'Pre-Assessment Estimator'!$G$2,FALSE))</f>
        <v>0</v>
      </c>
      <c r="AJ72" s="172">
        <f>IF(VLOOKUP(E72,'Pre-Assessment Estimator'!$E$11:$Z$226,'Pre-Assessment Estimator'!$N$2,FALSE)&gt;AB72,AB72,VLOOKUP(E72,'Pre-Assessment Estimator'!$E$11:$Z$226,'Pre-Assessment Estimator'!$N$2,FALSE))</f>
        <v>0</v>
      </c>
      <c r="AK72" s="172">
        <f>IF(VLOOKUP(E72,'Pre-Assessment Estimator'!$E$11:$Z$226,'Pre-Assessment Estimator'!$U$2,FALSE)&gt;AB72,AB72,VLOOKUP(E72,'Pre-Assessment Estimator'!$E$11:$Z$226,'Pre-Assessment Estimator'!$U$2,FALSE))</f>
        <v>0</v>
      </c>
      <c r="AM72" s="826"/>
      <c r="AN72" s="827"/>
      <c r="AO72" s="827"/>
      <c r="AP72" s="836">
        <v>1</v>
      </c>
      <c r="AQ72" s="837">
        <v>1</v>
      </c>
      <c r="AS72" s="835"/>
      <c r="AT72" s="836"/>
      <c r="AU72" s="836"/>
      <c r="AV72" s="836">
        <v>1</v>
      </c>
      <c r="AW72" s="837">
        <v>1</v>
      </c>
      <c r="AY72" s="828"/>
      <c r="AZ72" s="829"/>
      <c r="BA72" s="829"/>
      <c r="BB72" s="183">
        <f t="shared" ref="BB72" si="150">IF($E$6=$H$9,AV72,AP72)</f>
        <v>1</v>
      </c>
      <c r="BC72" s="187">
        <f>IF($E$6=$H$9,AW72,AQ72)</f>
        <v>1</v>
      </c>
      <c r="BD72" s="182">
        <f t="shared" si="147"/>
        <v>3</v>
      </c>
      <c r="BE72" s="164" t="str">
        <f t="shared" si="139"/>
        <v>Very Good</v>
      </c>
      <c r="BF72" s="185"/>
      <c r="BG72" s="182">
        <f t="shared" si="148"/>
        <v>3</v>
      </c>
      <c r="BH72" s="164" t="str">
        <f t="shared" si="141"/>
        <v>Very Good</v>
      </c>
      <c r="BI72" s="185"/>
      <c r="BJ72" s="182">
        <f t="shared" si="149"/>
        <v>3</v>
      </c>
      <c r="BK72" s="164" t="str">
        <f t="shared" si="142"/>
        <v>Very Good</v>
      </c>
      <c r="BL72" s="830"/>
      <c r="BO72" s="167"/>
      <c r="BP72" s="167"/>
      <c r="BQ72" s="167" t="str">
        <f t="shared" si="15"/>
        <v/>
      </c>
      <c r="BR72" s="167">
        <f t="shared" si="55"/>
        <v>9</v>
      </c>
      <c r="BS72" s="167">
        <f t="shared" si="56"/>
        <v>9</v>
      </c>
      <c r="BT72" s="167">
        <f t="shared" si="57"/>
        <v>9</v>
      </c>
      <c r="BW72" s="164"/>
      <c r="BX72" s="164"/>
      <c r="BY72" s="164"/>
      <c r="BZ72" s="164"/>
      <c r="CA72" s="164"/>
      <c r="CB72" s="164"/>
    </row>
    <row r="73" spans="1:87" x14ac:dyDescent="0.25">
      <c r="A73" s="96">
        <v>65</v>
      </c>
      <c r="B73" s="96" t="str">
        <f t="shared" si="143"/>
        <v>Ene 01d</v>
      </c>
      <c r="C73" s="96" t="str">
        <f t="shared" si="19"/>
        <v>Ene 01</v>
      </c>
      <c r="D73" s="163" t="s">
        <v>695</v>
      </c>
      <c r="E73" s="1248" t="s">
        <v>1147</v>
      </c>
      <c r="F73" s="775">
        <v>1</v>
      </c>
      <c r="G73" s="775">
        <v>1</v>
      </c>
      <c r="H73" s="775">
        <v>1</v>
      </c>
      <c r="I73" s="775">
        <v>1</v>
      </c>
      <c r="J73" s="775">
        <v>1</v>
      </c>
      <c r="K73" s="775">
        <v>1</v>
      </c>
      <c r="L73" s="775">
        <v>1</v>
      </c>
      <c r="M73" s="775">
        <v>1</v>
      </c>
      <c r="N73" s="775">
        <v>1</v>
      </c>
      <c r="O73" s="775">
        <v>1</v>
      </c>
      <c r="P73" s="775">
        <v>1</v>
      </c>
      <c r="Q73" s="775">
        <v>1</v>
      </c>
      <c r="R73" s="775">
        <v>1</v>
      </c>
      <c r="T73" s="221">
        <f t="shared" si="133"/>
        <v>1</v>
      </c>
      <c r="U73" s="166"/>
      <c r="V73" s="167"/>
      <c r="W73" s="167"/>
      <c r="X73" s="167"/>
      <c r="Y73" s="168"/>
      <c r="Z73" s="168">
        <f>VLOOKUP(B73,'Manuell filtrering og justering'!$A$7:$H$107,'Manuell filtrering og justering'!$H$1,FALSE)</f>
        <v>1</v>
      </c>
      <c r="AA73" s="169">
        <f t="shared" si="135"/>
        <v>0</v>
      </c>
      <c r="AB73" s="170">
        <f>IF($AC$5='Manuell filtrering og justering'!$J$2,Z73,(T73-AA73))</f>
        <v>1</v>
      </c>
      <c r="AD73" s="171">
        <f t="shared" si="136"/>
        <v>5.1851851851851859E-3</v>
      </c>
      <c r="AE73" s="171">
        <f t="shared" si="144"/>
        <v>0</v>
      </c>
      <c r="AF73" s="171">
        <f t="shared" si="145"/>
        <v>0</v>
      </c>
      <c r="AG73" s="171">
        <f t="shared" si="146"/>
        <v>0</v>
      </c>
      <c r="AI73" s="172">
        <f>IF(VLOOKUP(E73,'Pre-Assessment Estimator'!$E$11:$Z$226,'Pre-Assessment Estimator'!$G$2,FALSE)&gt;AB73,AB73,VLOOKUP(E73,'Pre-Assessment Estimator'!$E$11:$Z$226,'Pre-Assessment Estimator'!$G$2,FALSE))</f>
        <v>0</v>
      </c>
      <c r="AJ73" s="172">
        <f>IF(VLOOKUP(E73,'Pre-Assessment Estimator'!$E$11:$Z$226,'Pre-Assessment Estimator'!$N$2,FALSE)&gt;AB73,AB73,VLOOKUP(E73,'Pre-Assessment Estimator'!$E$11:$Z$226,'Pre-Assessment Estimator'!$N$2,FALSE))</f>
        <v>0</v>
      </c>
      <c r="AK73" s="172">
        <f>IF(VLOOKUP(E73,'Pre-Assessment Estimator'!$E$11:$Z$226,'Pre-Assessment Estimator'!$U$2,FALSE)&gt;AB73,AB73,VLOOKUP(E73,'Pre-Assessment Estimator'!$E$11:$Z$226,'Pre-Assessment Estimator'!$U$2,FALSE))</f>
        <v>0</v>
      </c>
      <c r="AM73" s="826"/>
      <c r="AN73" s="827"/>
      <c r="AO73" s="827"/>
      <c r="AP73" s="836">
        <v>1</v>
      </c>
      <c r="AQ73" s="837">
        <v>1</v>
      </c>
      <c r="AS73" s="835"/>
      <c r="AT73" s="836"/>
      <c r="AU73" s="836"/>
      <c r="AV73" s="836">
        <v>1</v>
      </c>
      <c r="AW73" s="837">
        <v>1</v>
      </c>
      <c r="AY73" s="828"/>
      <c r="AZ73" s="829"/>
      <c r="BA73" s="829"/>
      <c r="BB73" s="183">
        <f t="shared" ref="BB73" si="151">IF($E$6=$H$9,AV73,AP73)</f>
        <v>1</v>
      </c>
      <c r="BC73" s="187">
        <f>IF($E$6=$H$9,AW73,AQ73)</f>
        <v>1</v>
      </c>
      <c r="BD73" s="182">
        <f t="shared" si="147"/>
        <v>3</v>
      </c>
      <c r="BE73" s="164" t="str">
        <f t="shared" si="139"/>
        <v>Very Good</v>
      </c>
      <c r="BF73" s="185"/>
      <c r="BG73" s="182">
        <f t="shared" si="148"/>
        <v>3</v>
      </c>
      <c r="BH73" s="164" t="str">
        <f t="shared" si="141"/>
        <v>Very Good</v>
      </c>
      <c r="BI73" s="185"/>
      <c r="BJ73" s="182">
        <f t="shared" si="149"/>
        <v>3</v>
      </c>
      <c r="BK73" s="164" t="str">
        <f t="shared" si="142"/>
        <v>Very Good</v>
      </c>
      <c r="BL73" s="830"/>
      <c r="BO73" s="189">
        <v>1</v>
      </c>
      <c r="BP73" s="167"/>
      <c r="BQ73" s="167">
        <f t="shared" si="15"/>
        <v>1</v>
      </c>
      <c r="BR73" s="167">
        <f t="shared" si="55"/>
        <v>0</v>
      </c>
      <c r="BS73" s="167">
        <f t="shared" si="56"/>
        <v>0</v>
      </c>
      <c r="BT73" s="167">
        <f t="shared" si="57"/>
        <v>0</v>
      </c>
      <c r="BW73" s="164"/>
      <c r="BX73" s="164"/>
      <c r="BY73" s="164"/>
      <c r="BZ73" s="164"/>
      <c r="CA73" s="164"/>
      <c r="CB73" s="164"/>
    </row>
    <row r="74" spans="1:87" x14ac:dyDescent="0.25">
      <c r="A74" s="96">
        <v>66</v>
      </c>
      <c r="B74" s="96" t="str">
        <f t="shared" si="143"/>
        <v>Ene 01e</v>
      </c>
      <c r="C74" s="96" t="str">
        <f t="shared" si="19"/>
        <v>Ene 01</v>
      </c>
      <c r="D74" s="163" t="s">
        <v>694</v>
      </c>
      <c r="E74" s="1107" t="s">
        <v>624</v>
      </c>
      <c r="F74" s="775">
        <v>4</v>
      </c>
      <c r="G74" s="775">
        <v>4</v>
      </c>
      <c r="H74" s="775">
        <v>4</v>
      </c>
      <c r="I74" s="775">
        <v>4</v>
      </c>
      <c r="J74" s="775">
        <v>4</v>
      </c>
      <c r="K74" s="775">
        <v>4</v>
      </c>
      <c r="L74" s="775">
        <v>4</v>
      </c>
      <c r="M74" s="775">
        <v>4</v>
      </c>
      <c r="N74" s="775">
        <v>4</v>
      </c>
      <c r="O74" s="775">
        <v>4</v>
      </c>
      <c r="P74" s="775">
        <v>4</v>
      </c>
      <c r="Q74" s="775">
        <v>4</v>
      </c>
      <c r="R74" s="775">
        <v>4</v>
      </c>
      <c r="T74" s="221">
        <f t="shared" si="133"/>
        <v>4</v>
      </c>
      <c r="U74" s="166"/>
      <c r="V74" s="167"/>
      <c r="W74" s="167"/>
      <c r="X74" s="167"/>
      <c r="Y74" s="169">
        <f>IF($Y$4=$Y$6,T74,0)</f>
        <v>0</v>
      </c>
      <c r="Z74" s="168">
        <f>VLOOKUP(B74,'Manuell filtrering og justering'!$A$7:$H$107,'Manuell filtrering og justering'!$H$1,FALSE)</f>
        <v>0</v>
      </c>
      <c r="AA74" s="169">
        <f t="shared" si="135"/>
        <v>0</v>
      </c>
      <c r="AB74" s="170">
        <f>IF($AC$5='Manuell filtrering og justering'!$J$2,Z74,(T74-AA74))</f>
        <v>4</v>
      </c>
      <c r="AD74" s="171">
        <f t="shared" si="136"/>
        <v>2.0740740740740744E-2</v>
      </c>
      <c r="AE74" s="171">
        <f t="shared" si="144"/>
        <v>0</v>
      </c>
      <c r="AF74" s="171">
        <f t="shared" si="145"/>
        <v>0</v>
      </c>
      <c r="AG74" s="171">
        <f t="shared" si="146"/>
        <v>0</v>
      </c>
      <c r="AI74" s="172">
        <f>IF(VLOOKUP(E74,'Pre-Assessment Estimator'!$E$11:$Z$226,'Pre-Assessment Estimator'!$G$2,FALSE)&gt;AB74,AB74,VLOOKUP(E74,'Pre-Assessment Estimator'!$E$11:$Z$226,'Pre-Assessment Estimator'!$G$2,FALSE))</f>
        <v>0</v>
      </c>
      <c r="AJ74" s="172">
        <f>IF(VLOOKUP(E74,'Pre-Assessment Estimator'!$E$11:$Z$226,'Pre-Assessment Estimator'!$N$2,FALSE)&gt;AB74,AB74,VLOOKUP(E74,'Pre-Assessment Estimator'!$E$11:$Z$226,'Pre-Assessment Estimator'!$N$2,FALSE))</f>
        <v>0</v>
      </c>
      <c r="AK74" s="172">
        <f>IF(VLOOKUP(E74,'Pre-Assessment Estimator'!$E$11:$Z$226,'Pre-Assessment Estimator'!$U$2,FALSE)&gt;AB74,AB74,VLOOKUP(E74,'Pre-Assessment Estimator'!$E$11:$Z$226,'Pre-Assessment Estimator'!$U$2,FALSE))</f>
        <v>0</v>
      </c>
      <c r="AM74" s="826"/>
      <c r="AN74" s="827"/>
      <c r="AO74" s="827"/>
      <c r="AP74" s="836"/>
      <c r="AQ74" s="837"/>
      <c r="AS74" s="835"/>
      <c r="AT74" s="836"/>
      <c r="AU74" s="836"/>
      <c r="AV74" s="836"/>
      <c r="AW74" s="837"/>
      <c r="AY74" s="828"/>
      <c r="AZ74" s="829"/>
      <c r="BA74" s="829"/>
      <c r="BB74" s="829"/>
      <c r="BC74" s="848"/>
      <c r="BD74" s="182">
        <f t="shared" si="147"/>
        <v>9</v>
      </c>
      <c r="BE74" s="164" t="str">
        <f t="shared" si="139"/>
        <v>N/A</v>
      </c>
      <c r="BF74" s="185"/>
      <c r="BG74" s="182">
        <f t="shared" si="148"/>
        <v>9</v>
      </c>
      <c r="BH74" s="164" t="str">
        <f t="shared" si="141"/>
        <v>N/A</v>
      </c>
      <c r="BI74" s="185"/>
      <c r="BJ74" s="182">
        <f t="shared" si="149"/>
        <v>9</v>
      </c>
      <c r="BK74" s="164" t="str">
        <f t="shared" si="142"/>
        <v>N/A</v>
      </c>
      <c r="BL74" s="830"/>
      <c r="BO74" s="167"/>
      <c r="BP74" s="167"/>
      <c r="BQ74" s="167" t="str">
        <f t="shared" si="15"/>
        <v/>
      </c>
      <c r="BR74" s="167">
        <f t="shared" si="55"/>
        <v>9</v>
      </c>
      <c r="BS74" s="167">
        <f t="shared" si="56"/>
        <v>9</v>
      </c>
      <c r="BT74" s="167">
        <f t="shared" si="57"/>
        <v>9</v>
      </c>
      <c r="BW74" s="164"/>
      <c r="BX74" s="164"/>
      <c r="BY74" s="164"/>
      <c r="BZ74" s="164"/>
      <c r="CA74" s="164"/>
      <c r="CB74" s="164"/>
    </row>
    <row r="75" spans="1:87" x14ac:dyDescent="0.25">
      <c r="A75" s="96">
        <v>67</v>
      </c>
      <c r="B75" s="137" t="str">
        <f>D75</f>
        <v>Ene 02</v>
      </c>
      <c r="C75" s="137" t="str">
        <f>B75</f>
        <v>Ene 02</v>
      </c>
      <c r="D75" s="834" t="s">
        <v>136</v>
      </c>
      <c r="E75" s="832" t="s">
        <v>134</v>
      </c>
      <c r="F75" s="933">
        <f t="shared" ref="F75:R75" si="152">SUM(F76:F78)</f>
        <v>2</v>
      </c>
      <c r="G75" s="933">
        <f t="shared" si="152"/>
        <v>2</v>
      </c>
      <c r="H75" s="933">
        <f t="shared" si="152"/>
        <v>2</v>
      </c>
      <c r="I75" s="933">
        <f t="shared" si="152"/>
        <v>2</v>
      </c>
      <c r="J75" s="933">
        <f t="shared" si="152"/>
        <v>2</v>
      </c>
      <c r="K75" s="933">
        <f t="shared" si="152"/>
        <v>2</v>
      </c>
      <c r="L75" s="933">
        <f t="shared" si="152"/>
        <v>2</v>
      </c>
      <c r="M75" s="933">
        <f t="shared" si="152"/>
        <v>2</v>
      </c>
      <c r="N75" s="933">
        <f t="shared" si="152"/>
        <v>2</v>
      </c>
      <c r="O75" s="933">
        <f t="shared" si="152"/>
        <v>2</v>
      </c>
      <c r="P75" s="933">
        <f t="shared" si="152"/>
        <v>2</v>
      </c>
      <c r="Q75" s="933">
        <f t="shared" ref="Q75" si="153">SUM(Q76:Q78)</f>
        <v>2</v>
      </c>
      <c r="R75" s="933">
        <f t="shared" si="152"/>
        <v>2</v>
      </c>
      <c r="T75" s="963">
        <f t="shared" si="133"/>
        <v>2</v>
      </c>
      <c r="U75" s="222">
        <f>U77</f>
        <v>0</v>
      </c>
      <c r="V75" s="230"/>
      <c r="W75" s="230"/>
      <c r="X75" s="230">
        <f>'Manuell filtrering og justering'!E30</f>
        <v>0</v>
      </c>
      <c r="Y75" s="230"/>
      <c r="Z75" s="958">
        <f t="shared" ref="Z75" si="154">SUM(Z76:Z78)</f>
        <v>2</v>
      </c>
      <c r="AA75" s="963">
        <f t="shared" si="135"/>
        <v>0</v>
      </c>
      <c r="AB75" s="1066">
        <f>SUM(AB76:AB78)</f>
        <v>2</v>
      </c>
      <c r="AD75" s="171">
        <f t="shared" si="136"/>
        <v>1.0370370370370372E-2</v>
      </c>
      <c r="AE75" s="921">
        <f>SUM(AE76:AE78)</f>
        <v>0</v>
      </c>
      <c r="AF75" s="921">
        <f t="shared" ref="AF75:AG75" si="155">SUM(AF76:AF78)</f>
        <v>0</v>
      </c>
      <c r="AG75" s="921">
        <f t="shared" si="155"/>
        <v>0</v>
      </c>
      <c r="AI75" s="958">
        <f t="shared" ref="AI75:AK75" si="156">SUM(AI76:AI78)</f>
        <v>0</v>
      </c>
      <c r="AJ75" s="958">
        <f t="shared" si="156"/>
        <v>0</v>
      </c>
      <c r="AK75" s="958">
        <f t="shared" si="156"/>
        <v>0</v>
      </c>
      <c r="AL75" s="96" t="s">
        <v>426</v>
      </c>
      <c r="AM75" s="291"/>
      <c r="AN75" s="181"/>
      <c r="AO75" s="181"/>
      <c r="AP75" s="181"/>
      <c r="AQ75" s="186"/>
      <c r="AS75" s="291"/>
      <c r="AT75" s="181"/>
      <c r="AU75" s="181"/>
      <c r="AV75" s="181"/>
      <c r="AW75" s="186"/>
      <c r="AY75" s="182"/>
      <c r="AZ75" s="183"/>
      <c r="BA75" s="183"/>
      <c r="BB75" s="183"/>
      <c r="BC75" s="187"/>
      <c r="BD75" s="182">
        <f>IF(BC75=0,9,IF((AI75-CG75)&gt;=BC75,5,IF((AI75-CG75)&gt;=BB75,4,IF((AI75-CG75)&gt;=BA75,3,IF((AI75-CG75)&gt;=AZ75,2,IF((AI75-CG75)&lt;AY75,0,1))))))</f>
        <v>9</v>
      </c>
      <c r="BE75" s="164" t="str">
        <f t="shared" si="139"/>
        <v>N/A</v>
      </c>
      <c r="BF75" s="185"/>
      <c r="BG75" s="182">
        <f>IF(BC75=0,9,IF((AJ75-CG75)&gt;=BC75,5,IF((AJ75-CG75)&gt;=BB75,4,IF((AJ75-CG75)&gt;=BA75,3,IF((AJ75-CG75)&gt;=AZ75,2,IF((AJ75-CG75)&lt;AY75,0,1))))))</f>
        <v>9</v>
      </c>
      <c r="BH75" s="164" t="str">
        <f t="shared" si="141"/>
        <v>N/A</v>
      </c>
      <c r="BI75" s="185"/>
      <c r="BJ75" s="182">
        <f>IF(BC75=0,9,IF((AK75-CG75)&gt;=BC75,5,IF((AK75-CG75)&gt;=BB75,4,IF((AK75-CG75)&gt;=BA75,3,IF((AK75-CG75)&gt;=AZ75,2,IF((AK75-CG75)&lt;AY75,0,1))))))</f>
        <v>9</v>
      </c>
      <c r="BK75" s="164" t="str">
        <f t="shared" si="142"/>
        <v>N/A</v>
      </c>
      <c r="BL75" s="185"/>
      <c r="BO75" s="167"/>
      <c r="BP75" s="167"/>
      <c r="BQ75" s="167" t="str">
        <f t="shared" ref="BQ75:BQ138" si="157">IF(BO75&lt;&gt;"",BO75,IF(BP75&lt;&gt;"",BP75,""))</f>
        <v/>
      </c>
      <c r="BR75" s="167">
        <f t="shared" si="55"/>
        <v>9</v>
      </c>
      <c r="BS75" s="167">
        <f t="shared" si="56"/>
        <v>9</v>
      </c>
      <c r="BT75" s="167">
        <f t="shared" si="57"/>
        <v>9</v>
      </c>
      <c r="BW75" s="167" t="str">
        <f>D75</f>
        <v>Ene 02</v>
      </c>
      <c r="BX75" s="167" t="str">
        <f>IFERROR(VLOOKUP($E75,'Pre-Assessment Estimator'!$E$11:$AB$226,'Pre-Assessment Estimator'!AB$2,FALSE),"")</f>
        <v>O2: Sub-met. (AC 4-7: -1,0 c)</v>
      </c>
      <c r="BY75" s="230" t="str">
        <f>IFERROR(VLOOKUP($E75,'Pre-Assessment Estimator'!$E$11:$AI$226,'Pre-Assessment Estimator'!AI$2,FALSE),"")</f>
        <v>Ja</v>
      </c>
      <c r="BZ75" s="167">
        <f>IFERROR(VLOOKUP($BX75,$E$293:$H$326,F$291,FALSE),"")</f>
        <v>-1</v>
      </c>
      <c r="CA75" s="672" t="s">
        <v>429</v>
      </c>
      <c r="CB75" s="167">
        <f>H308</f>
        <v>1</v>
      </c>
      <c r="CC75" s="96" t="str">
        <f>IFERROR(VLOOKUP($BX75,$E$293:$H$326,I$291,FALSE),"")</f>
        <v/>
      </c>
      <c r="CD75" s="681" t="s">
        <v>404</v>
      </c>
      <c r="CE75" s="167">
        <f>VLOOKUP(CA75,$CA$4:$CB$5,2,FALSE)</f>
        <v>0</v>
      </c>
      <c r="CG75" s="681">
        <f>IF($BX$5=ais_nei,CE75,IF(CD75=$BY$5,IF(AND(CA75=$CA$4,BX75=$CC$4),0,BZ75),CE75))</f>
        <v>0</v>
      </c>
      <c r="CI75" s="96" t="s">
        <v>404</v>
      </c>
    </row>
    <row r="76" spans="1:87" x14ac:dyDescent="0.25">
      <c r="A76" s="96">
        <v>68</v>
      </c>
      <c r="B76" s="96" t="str">
        <f t="shared" ref="B76:B78" si="158">$D$75&amp;D76</f>
        <v>Ene 02a</v>
      </c>
      <c r="C76" s="96" t="str">
        <f t="shared" ref="C76:C139" si="159">C75</f>
        <v>Ene 02</v>
      </c>
      <c r="D76" s="163" t="s">
        <v>693</v>
      </c>
      <c r="E76" s="1123" t="s">
        <v>625</v>
      </c>
      <c r="F76" s="775">
        <v>1</v>
      </c>
      <c r="G76" s="775">
        <v>1</v>
      </c>
      <c r="H76" s="1022">
        <v>0</v>
      </c>
      <c r="I76" s="775">
        <v>1</v>
      </c>
      <c r="J76" s="775">
        <v>1</v>
      </c>
      <c r="K76" s="775">
        <v>1</v>
      </c>
      <c r="L76" s="775">
        <v>1</v>
      </c>
      <c r="M76" s="775">
        <v>1</v>
      </c>
      <c r="N76" s="775">
        <v>1</v>
      </c>
      <c r="O76" s="775">
        <v>1</v>
      </c>
      <c r="P76" s="775">
        <v>1</v>
      </c>
      <c r="Q76" s="775">
        <v>1</v>
      </c>
      <c r="R76" s="775">
        <v>1</v>
      </c>
      <c r="T76" s="221">
        <f t="shared" si="133"/>
        <v>1</v>
      </c>
      <c r="U76" s="166"/>
      <c r="V76" s="167"/>
      <c r="W76" s="167"/>
      <c r="X76" s="167"/>
      <c r="Y76" s="169">
        <f>IF($Y$4=$Y$6,T76,0)</f>
        <v>0</v>
      </c>
      <c r="Z76" s="168">
        <f>VLOOKUP(B76,'Manuell filtrering og justering'!$A$7:$H$107,'Manuell filtrering og justering'!$H$1,FALSE)</f>
        <v>1</v>
      </c>
      <c r="AA76" s="169">
        <f t="shared" si="135"/>
        <v>0</v>
      </c>
      <c r="AB76" s="170">
        <f>IF($AC$5='Manuell filtrering og justering'!$J$2,Z76,(T76-AA76))</f>
        <v>1</v>
      </c>
      <c r="AD76" s="171">
        <f t="shared" si="136"/>
        <v>5.1851851851851859E-3</v>
      </c>
      <c r="AE76" s="171">
        <f t="shared" si="144"/>
        <v>0</v>
      </c>
      <c r="AF76" s="171">
        <f t="shared" si="145"/>
        <v>0</v>
      </c>
      <c r="AG76" s="171">
        <f t="shared" si="146"/>
        <v>0</v>
      </c>
      <c r="AI76" s="172">
        <f>IF(VLOOKUP(E76,'Pre-Assessment Estimator'!$E$11:$Z$226,'Pre-Assessment Estimator'!$G$2,FALSE)&gt;AB76,AB76,VLOOKUP(E76,'Pre-Assessment Estimator'!$E$11:$Z$226,'Pre-Assessment Estimator'!$G$2,FALSE))</f>
        <v>0</v>
      </c>
      <c r="AJ76" s="172">
        <f>IF(VLOOKUP(E76,'Pre-Assessment Estimator'!$E$11:$Z$226,'Pre-Assessment Estimator'!$N$2,FALSE)&gt;AB76,AB76,VLOOKUP(E76,'Pre-Assessment Estimator'!$E$11:$Z$226,'Pre-Assessment Estimator'!$N$2,FALSE))</f>
        <v>0</v>
      </c>
      <c r="AK76" s="172">
        <f>IF(VLOOKUP(E76,'Pre-Assessment Estimator'!$E$11:$Z$226,'Pre-Assessment Estimator'!$U$2,FALSE)&gt;AB76,AB76,VLOOKUP(E76,'Pre-Assessment Estimator'!$E$11:$Z$226,'Pre-Assessment Estimator'!$U$2,FALSE))</f>
        <v>0</v>
      </c>
      <c r="AM76" s="291"/>
      <c r="AN76" s="181"/>
      <c r="AO76" s="181"/>
      <c r="AP76" s="181"/>
      <c r="AQ76" s="186"/>
      <c r="AS76" s="291"/>
      <c r="AT76" s="181"/>
      <c r="AU76" s="181"/>
      <c r="AV76" s="181"/>
      <c r="AW76" s="186"/>
      <c r="AY76" s="182"/>
      <c r="AZ76" s="183"/>
      <c r="BA76" s="183"/>
      <c r="BB76" s="183"/>
      <c r="BC76" s="187"/>
      <c r="BD76" s="182">
        <f t="shared" ref="BD76:BD95" si="160">IF(BC76=0,9,IF((AI76-CG76)&gt;=BC76,5,IF((AI76-CG76)&gt;=BB76,4,IF((AI76-CG76)&gt;=BA76,3,IF((AI76-CG76)&gt;=AZ76,2,IF((AI76-CG76)&lt;AY76,0,1))))))</f>
        <v>9</v>
      </c>
      <c r="BE76" s="164" t="str">
        <f t="shared" si="139"/>
        <v>N/A</v>
      </c>
      <c r="BF76" s="185"/>
      <c r="BG76" s="182">
        <f t="shared" ref="BG76:BG95" si="161">IF(BC76=0,9,IF((AJ76-CG76)&gt;=BC76,5,IF((AJ76-CG76)&gt;=BB76,4,IF((AJ76-CG76)&gt;=BA76,3,IF((AJ76-CG76)&gt;=AZ76,2,IF((AJ76-CG76)&lt;AY76,0,1))))))</f>
        <v>9</v>
      </c>
      <c r="BH76" s="164" t="str">
        <f t="shared" si="141"/>
        <v>N/A</v>
      </c>
      <c r="BI76" s="185"/>
      <c r="BJ76" s="182">
        <f t="shared" ref="BJ76:BJ95" si="162">IF(BC76=0,9,IF((AK76-CG76)&gt;=BC76,5,IF((AK76-CG76)&gt;=BB76,4,IF((AK76-CG76)&gt;=BA76,3,IF((AK76-CG76)&gt;=AZ76,2,IF((AK76-CG76)&lt;AY76,0,1))))))</f>
        <v>9</v>
      </c>
      <c r="BK76" s="164" t="str">
        <f t="shared" si="142"/>
        <v>N/A</v>
      </c>
      <c r="BL76" s="185"/>
      <c r="BO76" s="167"/>
      <c r="BP76" s="167"/>
      <c r="BQ76" s="167" t="str">
        <f t="shared" si="157"/>
        <v/>
      </c>
      <c r="BR76" s="167">
        <f t="shared" si="55"/>
        <v>9</v>
      </c>
      <c r="BS76" s="167">
        <f t="shared" si="56"/>
        <v>9</v>
      </c>
      <c r="BT76" s="167">
        <f t="shared" si="57"/>
        <v>9</v>
      </c>
      <c r="BW76" s="167"/>
      <c r="BX76" s="167"/>
      <c r="BY76" s="230"/>
      <c r="BZ76" s="167"/>
      <c r="CA76" s="839"/>
      <c r="CB76" s="167"/>
      <c r="CD76" s="681"/>
      <c r="CE76" s="167"/>
      <c r="CG76" s="681"/>
    </row>
    <row r="77" spans="1:87" x14ac:dyDescent="0.25">
      <c r="A77" s="96">
        <v>69</v>
      </c>
      <c r="B77" s="96" t="str">
        <f t="shared" si="158"/>
        <v>Ene 02b</v>
      </c>
      <c r="C77" s="96" t="str">
        <f t="shared" si="159"/>
        <v>Ene 02</v>
      </c>
      <c r="D77" s="163" t="s">
        <v>696</v>
      </c>
      <c r="E77" s="1123" t="s">
        <v>626</v>
      </c>
      <c r="F77" s="775">
        <v>1</v>
      </c>
      <c r="G77" s="775">
        <v>1</v>
      </c>
      <c r="H77" s="1022">
        <v>0</v>
      </c>
      <c r="I77" s="775">
        <v>1</v>
      </c>
      <c r="J77" s="775">
        <v>1</v>
      </c>
      <c r="K77" s="775">
        <v>1</v>
      </c>
      <c r="L77" s="775">
        <v>1</v>
      </c>
      <c r="M77" s="775">
        <v>1</v>
      </c>
      <c r="N77" s="775">
        <v>1</v>
      </c>
      <c r="O77" s="775">
        <v>1</v>
      </c>
      <c r="P77" s="775">
        <v>1</v>
      </c>
      <c r="Q77" s="775">
        <v>1</v>
      </c>
      <c r="R77" s="775">
        <v>1</v>
      </c>
      <c r="T77" s="221">
        <f t="shared" si="133"/>
        <v>1</v>
      </c>
      <c r="U77" s="222">
        <f>IF(AND('Assessment Details'!I28=1,'Assessment Details'!F28=AD_no),Poeng!T77,0)</f>
        <v>0</v>
      </c>
      <c r="V77" s="167"/>
      <c r="W77" s="167"/>
      <c r="X77" s="167"/>
      <c r="Y77" s="169">
        <f>IF($Y$4=$Y$6,T77,0)</f>
        <v>0</v>
      </c>
      <c r="Z77" s="168">
        <f>VLOOKUP(B77,'Manuell filtrering og justering'!$A$7:$H$107,'Manuell filtrering og justering'!$H$1,FALSE)</f>
        <v>1</v>
      </c>
      <c r="AA77" s="169">
        <f t="shared" si="135"/>
        <v>0</v>
      </c>
      <c r="AB77" s="170">
        <f>IF($AC$5='Manuell filtrering og justering'!$J$2,Z77,(T77-AA77))</f>
        <v>1</v>
      </c>
      <c r="AD77" s="171">
        <f t="shared" si="136"/>
        <v>5.1851851851851859E-3</v>
      </c>
      <c r="AE77" s="171">
        <f t="shared" si="144"/>
        <v>0</v>
      </c>
      <c r="AF77" s="171">
        <f t="shared" si="145"/>
        <v>0</v>
      </c>
      <c r="AG77" s="171">
        <f t="shared" si="146"/>
        <v>0</v>
      </c>
      <c r="AI77" s="172">
        <f>IF(VLOOKUP(E77,'Pre-Assessment Estimator'!$E$11:$Z$226,'Pre-Assessment Estimator'!$G$2,FALSE)&gt;AB77,AB77,VLOOKUP(E77,'Pre-Assessment Estimator'!$E$11:$Z$226,'Pre-Assessment Estimator'!$G$2,FALSE))</f>
        <v>0</v>
      </c>
      <c r="AJ77" s="172">
        <f>IF(VLOOKUP(E77,'Pre-Assessment Estimator'!$E$11:$Z$226,'Pre-Assessment Estimator'!$N$2,FALSE)&gt;AB77,AB77,VLOOKUP(E77,'Pre-Assessment Estimator'!$E$11:$Z$226,'Pre-Assessment Estimator'!$N$2,FALSE))</f>
        <v>0</v>
      </c>
      <c r="AK77" s="172">
        <f>IF(VLOOKUP(E77,'Pre-Assessment Estimator'!$E$11:$Z$226,'Pre-Assessment Estimator'!$U$2,FALSE)&gt;AB77,AB77,VLOOKUP(E77,'Pre-Assessment Estimator'!$E$11:$Z$226,'Pre-Assessment Estimator'!$U$2,FALSE))</f>
        <v>0</v>
      </c>
      <c r="AM77" s="291"/>
      <c r="AN77" s="181"/>
      <c r="AO77" s="181"/>
      <c r="AP77" s="181"/>
      <c r="AQ77" s="186"/>
      <c r="AS77" s="291"/>
      <c r="AT77" s="181"/>
      <c r="AU77" s="181"/>
      <c r="AV77" s="181"/>
      <c r="AW77" s="186"/>
      <c r="AY77" s="182"/>
      <c r="AZ77" s="183"/>
      <c r="BA77" s="183"/>
      <c r="BB77" s="183"/>
      <c r="BC77" s="187"/>
      <c r="BD77" s="182">
        <f t="shared" si="160"/>
        <v>9</v>
      </c>
      <c r="BE77" s="164" t="str">
        <f t="shared" si="139"/>
        <v>N/A</v>
      </c>
      <c r="BF77" s="185"/>
      <c r="BG77" s="182">
        <f t="shared" si="161"/>
        <v>9</v>
      </c>
      <c r="BH77" s="164" t="str">
        <f t="shared" si="141"/>
        <v>N/A</v>
      </c>
      <c r="BI77" s="185"/>
      <c r="BJ77" s="182">
        <f t="shared" si="162"/>
        <v>9</v>
      </c>
      <c r="BK77" s="164" t="str">
        <f t="shared" si="142"/>
        <v>N/A</v>
      </c>
      <c r="BL77" s="185"/>
      <c r="BO77" s="167"/>
      <c r="BP77" s="167"/>
      <c r="BQ77" s="167" t="str">
        <f t="shared" si="157"/>
        <v/>
      </c>
      <c r="BR77" s="167">
        <f t="shared" si="55"/>
        <v>9</v>
      </c>
      <c r="BS77" s="167">
        <f t="shared" si="56"/>
        <v>9</v>
      </c>
      <c r="BT77" s="167">
        <f t="shared" si="57"/>
        <v>9</v>
      </c>
      <c r="BW77" s="167"/>
      <c r="BX77" s="167"/>
      <c r="BY77" s="230"/>
      <c r="BZ77" s="167"/>
      <c r="CA77" s="839"/>
      <c r="CB77" s="167"/>
      <c r="CD77" s="681"/>
      <c r="CE77" s="167"/>
      <c r="CG77" s="681"/>
    </row>
    <row r="78" spans="1:87" ht="15.75" thickBot="1" x14ac:dyDescent="0.3">
      <c r="A78" s="96">
        <v>70</v>
      </c>
      <c r="B78" s="96" t="str">
        <f t="shared" si="158"/>
        <v>Ene 02c</v>
      </c>
      <c r="C78" s="96" t="str">
        <f t="shared" si="159"/>
        <v>Ene 02</v>
      </c>
      <c r="D78" s="166" t="s">
        <v>697</v>
      </c>
      <c r="E78" s="1123" t="s">
        <v>627</v>
      </c>
      <c r="F78" s="775">
        <v>0</v>
      </c>
      <c r="G78" s="775">
        <v>0</v>
      </c>
      <c r="H78" s="1022">
        <v>2</v>
      </c>
      <c r="I78" s="775">
        <v>0</v>
      </c>
      <c r="J78" s="775">
        <v>0</v>
      </c>
      <c r="K78" s="775">
        <v>0</v>
      </c>
      <c r="L78" s="775">
        <v>0</v>
      </c>
      <c r="M78" s="775">
        <v>0</v>
      </c>
      <c r="N78" s="775">
        <v>0</v>
      </c>
      <c r="O78" s="775">
        <v>0</v>
      </c>
      <c r="P78" s="775">
        <v>0</v>
      </c>
      <c r="Q78" s="775">
        <v>0</v>
      </c>
      <c r="R78" s="775">
        <v>0</v>
      </c>
      <c r="T78" s="221">
        <f t="shared" si="133"/>
        <v>0</v>
      </c>
      <c r="U78" s="166"/>
      <c r="V78" s="167"/>
      <c r="W78" s="193"/>
      <c r="X78" s="167"/>
      <c r="Y78" s="169">
        <f>IF($Y$4=$Y$6,T78,0)</f>
        <v>0</v>
      </c>
      <c r="Z78" s="168">
        <f>VLOOKUP(B78,'Manuell filtrering og justering'!$A$7:$H$107,'Manuell filtrering og justering'!$H$1,FALSE)</f>
        <v>0</v>
      </c>
      <c r="AA78" s="169">
        <f t="shared" si="135"/>
        <v>0</v>
      </c>
      <c r="AB78" s="170">
        <f>IF($AC$5='Manuell filtrering og justering'!$J$2,Z78,(T78-AA78))</f>
        <v>0</v>
      </c>
      <c r="AD78" s="171">
        <f t="shared" si="136"/>
        <v>0</v>
      </c>
      <c r="AE78" s="171">
        <f t="shared" si="144"/>
        <v>0</v>
      </c>
      <c r="AF78" s="171">
        <f t="shared" si="145"/>
        <v>0</v>
      </c>
      <c r="AG78" s="171">
        <f t="shared" si="146"/>
        <v>0</v>
      </c>
      <c r="AI78" s="172">
        <f>IF(VLOOKUP(E78,'Pre-Assessment Estimator'!$E$11:$Z$226,'Pre-Assessment Estimator'!$G$2,FALSE)&gt;AB78,AB78,VLOOKUP(E78,'Pre-Assessment Estimator'!$E$11:$Z$226,'Pre-Assessment Estimator'!$G$2,FALSE))</f>
        <v>0</v>
      </c>
      <c r="AJ78" s="172">
        <f>IF(VLOOKUP(E78,'Pre-Assessment Estimator'!$E$11:$Z$226,'Pre-Assessment Estimator'!$N$2,FALSE)&gt;AB78,AB78,VLOOKUP(E78,'Pre-Assessment Estimator'!$E$11:$Z$226,'Pre-Assessment Estimator'!$N$2,FALSE))</f>
        <v>0</v>
      </c>
      <c r="AK78" s="172">
        <f>IF(VLOOKUP(E78,'Pre-Assessment Estimator'!$E$11:$Z$226,'Pre-Assessment Estimator'!$U$2,FALSE)&gt;AB78,AB78,VLOOKUP(E78,'Pre-Assessment Estimator'!$E$11:$Z$226,'Pre-Assessment Estimator'!$U$2,FALSE))</f>
        <v>0</v>
      </c>
      <c r="AM78" s="291"/>
      <c r="AN78" s="181"/>
      <c r="AO78" s="181"/>
      <c r="AP78" s="181"/>
      <c r="AQ78" s="186"/>
      <c r="AS78" s="291"/>
      <c r="AT78" s="181"/>
      <c r="AU78" s="181"/>
      <c r="AV78" s="181"/>
      <c r="AW78" s="186"/>
      <c r="AY78" s="182"/>
      <c r="AZ78" s="183"/>
      <c r="BA78" s="183"/>
      <c r="BB78" s="183"/>
      <c r="BC78" s="187"/>
      <c r="BD78" s="182">
        <f t="shared" si="160"/>
        <v>9</v>
      </c>
      <c r="BE78" s="164" t="str">
        <f t="shared" si="139"/>
        <v>N/A</v>
      </c>
      <c r="BF78" s="185"/>
      <c r="BG78" s="182">
        <f t="shared" si="161"/>
        <v>9</v>
      </c>
      <c r="BH78" s="164" t="str">
        <f t="shared" si="141"/>
        <v>N/A</v>
      </c>
      <c r="BI78" s="185"/>
      <c r="BJ78" s="182">
        <f t="shared" si="162"/>
        <v>9</v>
      </c>
      <c r="BK78" s="164" t="str">
        <f t="shared" si="142"/>
        <v>N/A</v>
      </c>
      <c r="BL78" s="185"/>
      <c r="BO78" s="167"/>
      <c r="BP78" s="167"/>
      <c r="BQ78" s="167" t="str">
        <f t="shared" si="157"/>
        <v/>
      </c>
      <c r="BR78" s="167">
        <f t="shared" si="55"/>
        <v>9</v>
      </c>
      <c r="BS78" s="167">
        <f t="shared" si="56"/>
        <v>9</v>
      </c>
      <c r="BT78" s="167">
        <f t="shared" si="57"/>
        <v>9</v>
      </c>
      <c r="BW78" s="167"/>
      <c r="BX78" s="167"/>
      <c r="BY78" s="230"/>
      <c r="BZ78" s="167"/>
      <c r="CA78" s="839"/>
      <c r="CB78" s="167"/>
      <c r="CD78" s="681"/>
      <c r="CE78" s="167"/>
      <c r="CG78" s="681"/>
    </row>
    <row r="79" spans="1:87" x14ac:dyDescent="0.25">
      <c r="A79" s="96">
        <v>71</v>
      </c>
      <c r="B79" s="137" t="str">
        <f>D79</f>
        <v>Ene 03</v>
      </c>
      <c r="C79" s="137" t="str">
        <f>B79</f>
        <v>Ene 03</v>
      </c>
      <c r="D79" s="942" t="s">
        <v>137</v>
      </c>
      <c r="E79" s="832" t="s">
        <v>129</v>
      </c>
      <c r="F79" s="951">
        <v>1</v>
      </c>
      <c r="G79" s="951">
        <v>1</v>
      </c>
      <c r="H79" s="951">
        <v>1</v>
      </c>
      <c r="I79" s="951">
        <v>1</v>
      </c>
      <c r="J79" s="951">
        <v>1</v>
      </c>
      <c r="K79" s="951">
        <v>1</v>
      </c>
      <c r="L79" s="951">
        <v>1</v>
      </c>
      <c r="M79" s="951">
        <v>1</v>
      </c>
      <c r="N79" s="951">
        <v>1</v>
      </c>
      <c r="O79" s="951">
        <v>1</v>
      </c>
      <c r="P79" s="951">
        <v>1</v>
      </c>
      <c r="Q79" s="951">
        <v>1</v>
      </c>
      <c r="R79" s="951">
        <v>1</v>
      </c>
      <c r="T79" s="963">
        <f t="shared" si="133"/>
        <v>1</v>
      </c>
      <c r="U79" s="222"/>
      <c r="V79" s="1098"/>
      <c r="W79" s="150" t="s">
        <v>954</v>
      </c>
      <c r="X79" s="1099">
        <f>'Manuell filtrering og justering'!E31</f>
        <v>0</v>
      </c>
      <c r="Y79" s="1159"/>
      <c r="Z79" s="980">
        <f>IF((Z80+Z81)&gt;0,1,0)</f>
        <v>1</v>
      </c>
      <c r="AA79" s="963">
        <f t="shared" si="135"/>
        <v>0</v>
      </c>
      <c r="AB79" s="1066">
        <f>SUM(AB80:AB81)</f>
        <v>1</v>
      </c>
      <c r="AD79" s="171">
        <f t="shared" si="136"/>
        <v>5.1851851851851859E-3</v>
      </c>
      <c r="AE79" s="921">
        <f>IF(SUM(AE80:AE81)&gt;Ene03_05,Ene03_05,SUM(AE80:AE81))</f>
        <v>0</v>
      </c>
      <c r="AF79" s="921">
        <f>IF(SUM(AF80:AF81)&gt;Ene03_05,Ene03_05,SUM(AF80:AF81))</f>
        <v>0</v>
      </c>
      <c r="AG79" s="921">
        <f>IF(SUM(AG80:AG81)&gt;Ene03_05,Ene03_05,SUM(AG80:AG81))</f>
        <v>0</v>
      </c>
      <c r="AI79" s="958">
        <f>IF(SUM(AI80:AI81)&gt;Ene03_credits,Ene03_credits,SUM(AI80:AI81))</f>
        <v>0</v>
      </c>
      <c r="AJ79" s="958">
        <f>IF(SUM(AJ80:AJ81)&gt;Ene03_credits,Ene03_credits,SUM(AJ80:AJ81))</f>
        <v>0</v>
      </c>
      <c r="AK79" s="958">
        <f>IF(SUM(AK80:AK81)&gt;Ene03_credits,Ene03_credits,SUM(AK80:AK81))</f>
        <v>0</v>
      </c>
      <c r="AL79" s="96" t="s">
        <v>426</v>
      </c>
      <c r="AM79" s="292"/>
      <c r="AN79" s="293"/>
      <c r="AO79" s="293"/>
      <c r="AP79" s="293"/>
      <c r="AQ79" s="294"/>
      <c r="AS79" s="292"/>
      <c r="AT79" s="293"/>
      <c r="AU79" s="293"/>
      <c r="AV79" s="293"/>
      <c r="AW79" s="294"/>
      <c r="AY79" s="188"/>
      <c r="AZ79" s="189"/>
      <c r="BA79" s="189"/>
      <c r="BB79" s="189"/>
      <c r="BC79" s="190"/>
      <c r="BD79" s="182">
        <f t="shared" si="160"/>
        <v>9</v>
      </c>
      <c r="BE79" s="164" t="str">
        <f t="shared" si="139"/>
        <v>N/A</v>
      </c>
      <c r="BF79" s="185"/>
      <c r="BG79" s="182">
        <f t="shared" si="161"/>
        <v>9</v>
      </c>
      <c r="BH79" s="164" t="str">
        <f t="shared" si="141"/>
        <v>N/A</v>
      </c>
      <c r="BI79" s="185"/>
      <c r="BJ79" s="182">
        <f t="shared" si="162"/>
        <v>9</v>
      </c>
      <c r="BK79" s="164" t="str">
        <f t="shared" si="142"/>
        <v>N/A</v>
      </c>
      <c r="BL79" s="185"/>
      <c r="BM79" s="96" t="s">
        <v>459</v>
      </c>
      <c r="BO79" s="167"/>
      <c r="BP79" s="167"/>
      <c r="BQ79" s="167" t="str">
        <f t="shared" si="157"/>
        <v/>
      </c>
      <c r="BR79" s="167">
        <f t="shared" si="55"/>
        <v>9</v>
      </c>
      <c r="BS79" s="167">
        <f t="shared" si="56"/>
        <v>9</v>
      </c>
      <c r="BT79" s="167">
        <f t="shared" si="57"/>
        <v>9</v>
      </c>
      <c r="BW79" s="167" t="str">
        <f>D79</f>
        <v>Ene 03</v>
      </c>
      <c r="BX79" s="167" t="str">
        <f>IFERROR(VLOOKUP($E79,'Pre-Assessment Estimator'!$E$11:$AB$226,'Pre-Assessment Estimator'!AB$2,FALSE),"")</f>
        <v>No</v>
      </c>
      <c r="BY79" s="230" t="str">
        <f>IFERROR(VLOOKUP($E79,'Pre-Assessment Estimator'!$E$11:$AI$226,'Pre-Assessment Estimator'!AI$2,FALSE),"")</f>
        <v>Ja</v>
      </c>
      <c r="BZ79" s="167">
        <f>IFERROR(VLOOKUP($BX79,$E$293:$H$326,F$291,FALSE),"")</f>
        <v>1</v>
      </c>
      <c r="CA79" s="680" t="s">
        <v>431</v>
      </c>
      <c r="CB79" s="167"/>
      <c r="CC79" s="96" t="str">
        <f>IFERROR(VLOOKUP($BX79,$E$293:$H$326,I$291,FALSE),"")</f>
        <v/>
      </c>
      <c r="CD79" s="96" t="s">
        <v>437</v>
      </c>
      <c r="CE79" s="167">
        <f>VLOOKUP(CA79,$CA$4:$CB$5,2,FALSE)</f>
        <v>1</v>
      </c>
      <c r="CG79" s="681">
        <f>IF($BX$5=ais_nei,CE79,IF(AND(CA79=$CA$4,BX79=$CC$4),0,BZ79))</f>
        <v>1</v>
      </c>
    </row>
    <row r="80" spans="1:87" x14ac:dyDescent="0.25">
      <c r="A80" s="96">
        <v>72</v>
      </c>
      <c r="B80" s="96" t="str">
        <f t="shared" ref="B80:B81" si="163">$D$79&amp;D80</f>
        <v>Ene 03a</v>
      </c>
      <c r="C80" s="96" t="str">
        <f t="shared" si="159"/>
        <v>Ene 03</v>
      </c>
      <c r="D80" s="163" t="s">
        <v>693</v>
      </c>
      <c r="E80" s="1123" t="s">
        <v>628</v>
      </c>
      <c r="F80" s="775">
        <v>1</v>
      </c>
      <c r="G80" s="775">
        <v>1</v>
      </c>
      <c r="H80" s="775">
        <v>1</v>
      </c>
      <c r="I80" s="775">
        <v>1</v>
      </c>
      <c r="J80" s="775">
        <v>1</v>
      </c>
      <c r="K80" s="775">
        <v>1</v>
      </c>
      <c r="L80" s="775">
        <v>1</v>
      </c>
      <c r="M80" s="775">
        <v>1</v>
      </c>
      <c r="N80" s="775">
        <v>1</v>
      </c>
      <c r="O80" s="775">
        <v>1</v>
      </c>
      <c r="P80" s="775">
        <v>1</v>
      </c>
      <c r="Q80" s="775">
        <v>1</v>
      </c>
      <c r="R80" s="775">
        <v>1</v>
      </c>
      <c r="T80" s="221">
        <f t="shared" si="133"/>
        <v>1</v>
      </c>
      <c r="U80" s="222">
        <f>IF('Assessment Details'!F18=AD_Yes,Poeng!T80,0)</f>
        <v>0</v>
      </c>
      <c r="V80" s="168"/>
      <c r="W80" s="169">
        <f>IF('Assessment Details'!F18=AD_Yes,Poeng!Z80,0)</f>
        <v>0</v>
      </c>
      <c r="X80" s="239"/>
      <c r="Y80" s="1158"/>
      <c r="Z80" s="168">
        <f>VLOOKUP(B80,'Manuell filtrering og justering'!$A$7:$H$107,'Manuell filtrering og justering'!$H$1,FALSE)</f>
        <v>1</v>
      </c>
      <c r="AA80" s="169">
        <f>IF(SUM(U80:V80)&gt;T80,T80,SUM(U80:V80))</f>
        <v>0</v>
      </c>
      <c r="AB80" s="1036">
        <f>IF($AC$5='Manuell filtrering og justering'!$J$2,Z80-W80,(T80-AA80))</f>
        <v>1</v>
      </c>
      <c r="AD80" s="171">
        <f t="shared" si="136"/>
        <v>5.1851851851851859E-3</v>
      </c>
      <c r="AE80" s="171">
        <f t="shared" si="144"/>
        <v>0</v>
      </c>
      <c r="AF80" s="171">
        <f t="shared" si="145"/>
        <v>0</v>
      </c>
      <c r="AG80" s="171">
        <f t="shared" si="146"/>
        <v>0</v>
      </c>
      <c r="AI80" s="172">
        <f>IF(VLOOKUP(E80,'Pre-Assessment Estimator'!$E$11:$Z$226,'Pre-Assessment Estimator'!$G$2,FALSE)&gt;AB80,AB80,VLOOKUP(E80,'Pre-Assessment Estimator'!$E$11:$Z$226,'Pre-Assessment Estimator'!$G$2,FALSE))</f>
        <v>0</v>
      </c>
      <c r="AJ80" s="172">
        <f>IF(VLOOKUP(E80,'Pre-Assessment Estimator'!$E$11:$Z$226,'Pre-Assessment Estimator'!$N$2,FALSE)&gt;AB80,AB80,VLOOKUP(E80,'Pre-Assessment Estimator'!$E$11:$Z$226,'Pre-Assessment Estimator'!$N$2,FALSE))</f>
        <v>0</v>
      </c>
      <c r="AK80" s="172">
        <f>IF(VLOOKUP(E80,'Pre-Assessment Estimator'!$E$11:$Z$226,'Pre-Assessment Estimator'!$U$2,FALSE)&gt;AB80,AB80,VLOOKUP(E80,'Pre-Assessment Estimator'!$E$11:$Z$226,'Pre-Assessment Estimator'!$U$2,FALSE))</f>
        <v>0</v>
      </c>
      <c r="AM80" s="292"/>
      <c r="AN80" s="293"/>
      <c r="AO80" s="293"/>
      <c r="AP80" s="293"/>
      <c r="AQ80" s="294"/>
      <c r="AS80" s="292"/>
      <c r="AT80" s="293"/>
      <c r="AU80" s="293"/>
      <c r="AV80" s="293"/>
      <c r="AW80" s="294"/>
      <c r="AY80" s="188"/>
      <c r="AZ80" s="189"/>
      <c r="BA80" s="189"/>
      <c r="BB80" s="189"/>
      <c r="BC80" s="190"/>
      <c r="BD80" s="182">
        <f t="shared" si="160"/>
        <v>9</v>
      </c>
      <c r="BE80" s="164" t="str">
        <f t="shared" si="139"/>
        <v>N/A</v>
      </c>
      <c r="BF80" s="185"/>
      <c r="BG80" s="182">
        <f t="shared" si="161"/>
        <v>9</v>
      </c>
      <c r="BH80" s="164" t="str">
        <f t="shared" si="141"/>
        <v>N/A</v>
      </c>
      <c r="BI80" s="185"/>
      <c r="BJ80" s="182">
        <f t="shared" si="162"/>
        <v>9</v>
      </c>
      <c r="BK80" s="164" t="str">
        <f t="shared" si="142"/>
        <v>N/A</v>
      </c>
      <c r="BL80" s="185"/>
      <c r="BO80" s="167"/>
      <c r="BP80" s="167"/>
      <c r="BQ80" s="167" t="str">
        <f t="shared" si="157"/>
        <v/>
      </c>
      <c r="BR80" s="167">
        <f t="shared" si="55"/>
        <v>9</v>
      </c>
      <c r="BS80" s="167">
        <f t="shared" si="56"/>
        <v>9</v>
      </c>
      <c r="BT80" s="167">
        <f t="shared" si="57"/>
        <v>9</v>
      </c>
      <c r="BW80" s="167"/>
      <c r="BX80" s="167"/>
      <c r="BY80" s="230"/>
      <c r="BZ80" s="167"/>
      <c r="CA80" s="680"/>
      <c r="CB80" s="167"/>
      <c r="CE80" s="99"/>
      <c r="CG80" s="681"/>
    </row>
    <row r="81" spans="1:85" ht="15.75" thickBot="1" x14ac:dyDescent="0.3">
      <c r="A81" s="96">
        <v>73</v>
      </c>
      <c r="B81" s="96" t="str">
        <f t="shared" si="163"/>
        <v>Ene 03b</v>
      </c>
      <c r="C81" s="96" t="str">
        <f t="shared" si="159"/>
        <v>Ene 03</v>
      </c>
      <c r="D81" s="163" t="s">
        <v>696</v>
      </c>
      <c r="E81" s="1123" t="s">
        <v>629</v>
      </c>
      <c r="F81" s="775">
        <v>1</v>
      </c>
      <c r="G81" s="775">
        <v>1</v>
      </c>
      <c r="H81" s="775">
        <v>1</v>
      </c>
      <c r="I81" s="775">
        <v>1</v>
      </c>
      <c r="J81" s="775">
        <v>1</v>
      </c>
      <c r="K81" s="775">
        <v>1</v>
      </c>
      <c r="L81" s="775">
        <v>1</v>
      </c>
      <c r="M81" s="775">
        <v>1</v>
      </c>
      <c r="N81" s="775">
        <v>1</v>
      </c>
      <c r="O81" s="775">
        <v>1</v>
      </c>
      <c r="P81" s="775">
        <v>1</v>
      </c>
      <c r="Q81" s="775">
        <v>1</v>
      </c>
      <c r="R81" s="775">
        <v>1</v>
      </c>
      <c r="T81" s="221">
        <f t="shared" si="133"/>
        <v>1</v>
      </c>
      <c r="U81" s="222">
        <f>IF(U80=0,1,0)</f>
        <v>1</v>
      </c>
      <c r="V81" s="168"/>
      <c r="W81" s="241">
        <f>IF(W80=0,1,0)</f>
        <v>1</v>
      </c>
      <c r="X81" s="239"/>
      <c r="Y81" s="1158"/>
      <c r="Z81" s="168">
        <f>VLOOKUP(B81,'Manuell filtrering og justering'!$A$7:$H$107,'Manuell filtrering og justering'!$H$1,FALSE)</f>
        <v>1</v>
      </c>
      <c r="AA81" s="169">
        <f>IF(SUM(U81:V81)&gt;T81,T81,SUM(U81:V81))</f>
        <v>1</v>
      </c>
      <c r="AB81" s="1036">
        <f>IF($AC$5='Manuell filtrering og justering'!$J$2,Z81-W81,(T81-AA81))</f>
        <v>0</v>
      </c>
      <c r="AD81" s="171">
        <f t="shared" si="136"/>
        <v>0</v>
      </c>
      <c r="AE81" s="171">
        <f t="shared" si="144"/>
        <v>0</v>
      </c>
      <c r="AF81" s="171">
        <f t="shared" si="145"/>
        <v>0</v>
      </c>
      <c r="AG81" s="171">
        <f t="shared" si="146"/>
        <v>0</v>
      </c>
      <c r="AI81" s="172">
        <f>IF(VLOOKUP(E81,'Pre-Assessment Estimator'!$E$11:$Z$226,'Pre-Assessment Estimator'!$G$2,FALSE)&gt;AB81,AB81,VLOOKUP(E81,'Pre-Assessment Estimator'!$E$11:$Z$226,'Pre-Assessment Estimator'!$G$2,FALSE))</f>
        <v>0</v>
      </c>
      <c r="AJ81" s="172">
        <f>IF(VLOOKUP(E81,'Pre-Assessment Estimator'!$E$11:$Z$226,'Pre-Assessment Estimator'!$N$2,FALSE)&gt;AB81,AB81,VLOOKUP(E81,'Pre-Assessment Estimator'!$E$11:$Z$226,'Pre-Assessment Estimator'!$N$2,FALSE))</f>
        <v>0</v>
      </c>
      <c r="AK81" s="172">
        <f>IF(VLOOKUP(E81,'Pre-Assessment Estimator'!$E$11:$Z$226,'Pre-Assessment Estimator'!$U$2,FALSE)&gt;AB81,AB81,VLOOKUP(E81,'Pre-Assessment Estimator'!$E$11:$Z$226,'Pre-Assessment Estimator'!$U$2,FALSE))</f>
        <v>0</v>
      </c>
      <c r="AM81" s="292"/>
      <c r="AN81" s="293"/>
      <c r="AO81" s="293"/>
      <c r="AP81" s="293"/>
      <c r="AQ81" s="294"/>
      <c r="AS81" s="292"/>
      <c r="AT81" s="293"/>
      <c r="AU81" s="293"/>
      <c r="AV81" s="293"/>
      <c r="AW81" s="294"/>
      <c r="AY81" s="188"/>
      <c r="AZ81" s="189"/>
      <c r="BA81" s="189"/>
      <c r="BB81" s="189"/>
      <c r="BC81" s="190"/>
      <c r="BD81" s="182">
        <f t="shared" si="160"/>
        <v>9</v>
      </c>
      <c r="BE81" s="164" t="str">
        <f t="shared" si="139"/>
        <v>N/A</v>
      </c>
      <c r="BF81" s="185"/>
      <c r="BG81" s="182">
        <f t="shared" si="161"/>
        <v>9</v>
      </c>
      <c r="BH81" s="164" t="str">
        <f t="shared" si="141"/>
        <v>N/A</v>
      </c>
      <c r="BI81" s="185"/>
      <c r="BJ81" s="182">
        <f t="shared" si="162"/>
        <v>9</v>
      </c>
      <c r="BK81" s="164" t="str">
        <f t="shared" si="142"/>
        <v>N/A</v>
      </c>
      <c r="BL81" s="185"/>
      <c r="BO81" s="167"/>
      <c r="BP81" s="167"/>
      <c r="BQ81" s="167" t="str">
        <f t="shared" si="157"/>
        <v/>
      </c>
      <c r="BR81" s="167">
        <f t="shared" si="55"/>
        <v>9</v>
      </c>
      <c r="BS81" s="167">
        <f t="shared" si="56"/>
        <v>9</v>
      </c>
      <c r="BT81" s="167">
        <f t="shared" si="57"/>
        <v>9</v>
      </c>
      <c r="BW81" s="167"/>
      <c r="BX81" s="167"/>
      <c r="BY81" s="230"/>
      <c r="BZ81" s="167"/>
      <c r="CA81" s="680"/>
      <c r="CB81" s="167"/>
      <c r="CE81" s="99"/>
      <c r="CG81" s="681"/>
    </row>
    <row r="82" spans="1:85" x14ac:dyDescent="0.25">
      <c r="A82" s="96">
        <v>74</v>
      </c>
      <c r="D82" s="701" t="s">
        <v>138</v>
      </c>
      <c r="E82" s="700"/>
      <c r="F82" s="934"/>
      <c r="G82" s="934"/>
      <c r="H82" s="934"/>
      <c r="I82" s="934"/>
      <c r="J82" s="934"/>
      <c r="K82" s="934"/>
      <c r="L82" s="934"/>
      <c r="M82" s="934"/>
      <c r="N82" s="934"/>
      <c r="O82" s="934"/>
      <c r="P82" s="934"/>
      <c r="Q82" s="934"/>
      <c r="R82" s="934"/>
      <c r="T82" s="956"/>
      <c r="U82" s="701"/>
      <c r="V82" s="700"/>
      <c r="W82" s="1100"/>
      <c r="X82" s="700"/>
      <c r="Y82" s="955"/>
      <c r="Z82" s="168"/>
      <c r="AA82" s="956"/>
      <c r="AB82" s="957"/>
      <c r="AD82" s="171">
        <f t="shared" si="136"/>
        <v>0</v>
      </c>
      <c r="AE82" s="960"/>
      <c r="AF82" s="960"/>
      <c r="AG82" s="960"/>
      <c r="AI82" s="720"/>
      <c r="AJ82" s="720"/>
      <c r="AK82" s="720"/>
      <c r="AM82" s="291"/>
      <c r="AN82" s="181"/>
      <c r="AO82" s="181"/>
      <c r="AP82" s="181"/>
      <c r="AQ82" s="186"/>
      <c r="AS82" s="291"/>
      <c r="AT82" s="181"/>
      <c r="AU82" s="181"/>
      <c r="AV82" s="181"/>
      <c r="AW82" s="186"/>
      <c r="AY82" s="182"/>
      <c r="AZ82" s="183"/>
      <c r="BA82" s="183"/>
      <c r="BB82" s="183"/>
      <c r="BC82" s="187"/>
      <c r="BD82" s="182">
        <f t="shared" si="160"/>
        <v>9</v>
      </c>
      <c r="BE82" s="164" t="str">
        <f t="shared" si="139"/>
        <v>N/A</v>
      </c>
      <c r="BF82" s="185"/>
      <c r="BG82" s="182">
        <f t="shared" si="161"/>
        <v>9</v>
      </c>
      <c r="BH82" s="164" t="str">
        <f t="shared" si="141"/>
        <v>N/A</v>
      </c>
      <c r="BI82" s="185"/>
      <c r="BJ82" s="182">
        <f t="shared" si="162"/>
        <v>9</v>
      </c>
      <c r="BK82" s="164" t="str">
        <f t="shared" si="142"/>
        <v>N/A</v>
      </c>
      <c r="BL82" s="185"/>
      <c r="BO82" s="167"/>
      <c r="BP82" s="167"/>
      <c r="BQ82" s="167" t="str">
        <f t="shared" si="157"/>
        <v/>
      </c>
      <c r="BR82" s="167">
        <f t="shared" si="55"/>
        <v>9</v>
      </c>
      <c r="BS82" s="167">
        <f t="shared" si="56"/>
        <v>9</v>
      </c>
      <c r="BT82" s="167">
        <f t="shared" si="57"/>
        <v>9</v>
      </c>
      <c r="BW82" s="167" t="str">
        <f>D82</f>
        <v>Ene 04</v>
      </c>
      <c r="BX82" s="167" t="str">
        <f>IFERROR(VLOOKUP($E82,'Pre-Assessment Estimator'!$E$11:$AB$226,'Pre-Assessment Estimator'!AB$2,FALSE),"")</f>
        <v/>
      </c>
      <c r="BY82" s="167" t="str">
        <f>IFERROR(VLOOKUP($E82,'Pre-Assessment Estimator'!$E$11:$AI$226,'Pre-Assessment Estimator'!AI$2,FALSE),"")</f>
        <v/>
      </c>
      <c r="BZ82" s="167" t="str">
        <f>IFERROR(VLOOKUP($BX82,$E$293:$H$326,F$291,FALSE),"")</f>
        <v/>
      </c>
      <c r="CA82" s="167" t="str">
        <f>IFERROR(VLOOKUP($BX82,$E$293:$H$326,G$291,FALSE),"")</f>
        <v/>
      </c>
      <c r="CB82" s="167"/>
      <c r="CC82" s="96" t="str">
        <f>IFERROR(VLOOKUP($BX82,$E$293:$H$326,I$291,FALSE),"")</f>
        <v/>
      </c>
    </row>
    <row r="83" spans="1:85" x14ac:dyDescent="0.25">
      <c r="A83" s="96">
        <v>75</v>
      </c>
      <c r="B83" s="137" t="str">
        <f>D83</f>
        <v>Ene 05</v>
      </c>
      <c r="C83" s="137" t="str">
        <f>B83</f>
        <v>Ene 05</v>
      </c>
      <c r="D83" s="834" t="s">
        <v>139</v>
      </c>
      <c r="E83" s="832" t="s">
        <v>130</v>
      </c>
      <c r="F83" s="933">
        <f t="shared" ref="F83:R83" si="164">SUM(F84:F85)</f>
        <v>2</v>
      </c>
      <c r="G83" s="933">
        <f t="shared" si="164"/>
        <v>2</v>
      </c>
      <c r="H83" s="933">
        <f t="shared" si="164"/>
        <v>0</v>
      </c>
      <c r="I83" s="933">
        <f t="shared" si="164"/>
        <v>2</v>
      </c>
      <c r="J83" s="933">
        <f t="shared" si="164"/>
        <v>2</v>
      </c>
      <c r="K83" s="933">
        <f t="shared" si="164"/>
        <v>2</v>
      </c>
      <c r="L83" s="933">
        <f t="shared" si="164"/>
        <v>2</v>
      </c>
      <c r="M83" s="933">
        <f t="shared" si="164"/>
        <v>2</v>
      </c>
      <c r="N83" s="933">
        <f t="shared" si="164"/>
        <v>2</v>
      </c>
      <c r="O83" s="933">
        <f t="shared" si="164"/>
        <v>2</v>
      </c>
      <c r="P83" s="933">
        <f t="shared" si="164"/>
        <v>2</v>
      </c>
      <c r="Q83" s="933">
        <f t="shared" ref="Q83" si="165">SUM(Q84:Q85)</f>
        <v>2</v>
      </c>
      <c r="R83" s="933">
        <f t="shared" si="164"/>
        <v>2</v>
      </c>
      <c r="T83" s="963">
        <f t="shared" ref="T83:T94" si="166">HLOOKUP($E$6,$F$9:$R$231,$A83,FALSE)</f>
        <v>2</v>
      </c>
      <c r="U83" s="222">
        <f>U84+U85</f>
        <v>0</v>
      </c>
      <c r="V83" s="230"/>
      <c r="W83" s="230"/>
      <c r="X83" s="230">
        <f>'Manuell filtrering og justering'!E33</f>
        <v>0</v>
      </c>
      <c r="Y83" s="230"/>
      <c r="Z83" s="958">
        <f t="shared" ref="Z83" si="167">SUM(Z84:Z85)</f>
        <v>0</v>
      </c>
      <c r="AA83" s="963">
        <f t="shared" ref="AA83:AA94" si="168">IF(SUM(U83:Y83)&gt;T83,T83,SUM(U83:Y83))</f>
        <v>0</v>
      </c>
      <c r="AB83" s="1066">
        <f t="shared" ref="AB83" si="169">SUM(AB84:AB85)</f>
        <v>2</v>
      </c>
      <c r="AD83" s="171">
        <f t="shared" si="136"/>
        <v>1.0370370370370372E-2</v>
      </c>
      <c r="AE83" s="921">
        <f>SUM(AE84:AE85)</f>
        <v>0</v>
      </c>
      <c r="AF83" s="921">
        <f t="shared" ref="AF83:AG83" si="170">SUM(AF84:AF85)</f>
        <v>0</v>
      </c>
      <c r="AG83" s="921">
        <f t="shared" si="170"/>
        <v>0</v>
      </c>
      <c r="AI83" s="958">
        <f t="shared" ref="AI83:AK83" si="171">SUM(AI84:AI85)</f>
        <v>0</v>
      </c>
      <c r="AJ83" s="958">
        <f t="shared" si="171"/>
        <v>0</v>
      </c>
      <c r="AK83" s="958">
        <f t="shared" si="171"/>
        <v>0</v>
      </c>
      <c r="AL83" s="96" t="s">
        <v>426</v>
      </c>
      <c r="AM83" s="292"/>
      <c r="AN83" s="293"/>
      <c r="AO83" s="293"/>
      <c r="AP83" s="293"/>
      <c r="AQ83" s="294"/>
      <c r="AS83" s="292"/>
      <c r="AT83" s="293"/>
      <c r="AU83" s="293"/>
      <c r="AV83" s="293"/>
      <c r="AW83" s="294"/>
      <c r="AY83" s="188"/>
      <c r="AZ83" s="189"/>
      <c r="BA83" s="189"/>
      <c r="BB83" s="189"/>
      <c r="BC83" s="190"/>
      <c r="BD83" s="182">
        <f t="shared" si="160"/>
        <v>9</v>
      </c>
      <c r="BE83" s="164" t="str">
        <f t="shared" si="139"/>
        <v>N/A</v>
      </c>
      <c r="BF83" s="185"/>
      <c r="BG83" s="182">
        <f t="shared" si="161"/>
        <v>9</v>
      </c>
      <c r="BH83" s="164" t="str">
        <f t="shared" si="141"/>
        <v>N/A</v>
      </c>
      <c r="BI83" s="185"/>
      <c r="BJ83" s="182">
        <f t="shared" si="162"/>
        <v>9</v>
      </c>
      <c r="BK83" s="164" t="str">
        <f t="shared" si="142"/>
        <v>N/A</v>
      </c>
      <c r="BL83" s="185"/>
      <c r="BO83" s="167"/>
      <c r="BP83" s="167"/>
      <c r="BQ83" s="167" t="str">
        <f t="shared" si="157"/>
        <v/>
      </c>
      <c r="BR83" s="167">
        <f t="shared" si="55"/>
        <v>9</v>
      </c>
      <c r="BS83" s="167">
        <f t="shared" si="56"/>
        <v>9</v>
      </c>
      <c r="BT83" s="167">
        <f t="shared" si="57"/>
        <v>9</v>
      </c>
      <c r="BW83" s="167" t="str">
        <f>D83</f>
        <v>Ene 05</v>
      </c>
      <c r="BX83" s="167" t="str">
        <f>IFERROR(VLOOKUP($E83,'Pre-Assessment Estimator'!$E$11:$AB$226,'Pre-Assessment Estimator'!AB$2,FALSE),"")</f>
        <v>No</v>
      </c>
      <c r="BY83" s="230" t="str">
        <f>IFERROR(VLOOKUP($E83,'Pre-Assessment Estimator'!$E$11:$AI$226,'Pre-Assessment Estimator'!AI$2,FALSE),"")</f>
        <v>Ja</v>
      </c>
      <c r="BZ83" s="167">
        <f>IFERROR(VLOOKUP($BX83,$E$293:$H$326,F$291,FALSE),"")</f>
        <v>1</v>
      </c>
      <c r="CA83" s="680" t="s">
        <v>431</v>
      </c>
      <c r="CB83" s="167"/>
      <c r="CC83" s="96" t="str">
        <f>IFERROR(VLOOKUP($BX83,$E$293:$H$326,I$291,FALSE),"")</f>
        <v/>
      </c>
      <c r="CD83" s="96" t="s">
        <v>404</v>
      </c>
      <c r="CE83" s="167">
        <f>VLOOKUP(CA83,$CA$4:$CB$5,2,FALSE)</f>
        <v>1</v>
      </c>
      <c r="CG83" s="681">
        <f>IF($BX$5=ais_nei,CE83,IF(AND(CA83=$CA$4,BX83=$CC$4),0,BZ83))</f>
        <v>1</v>
      </c>
    </row>
    <row r="84" spans="1:85" x14ac:dyDescent="0.25">
      <c r="A84" s="96">
        <v>76</v>
      </c>
      <c r="B84" s="96" t="str">
        <f t="shared" ref="B84:B85" si="172">$D$83&amp;D84</f>
        <v>Ene 05a</v>
      </c>
      <c r="C84" s="96" t="str">
        <f t="shared" si="159"/>
        <v>Ene 05</v>
      </c>
      <c r="D84" s="163" t="s">
        <v>693</v>
      </c>
      <c r="E84" s="1123" t="s">
        <v>630</v>
      </c>
      <c r="F84" s="775">
        <v>1</v>
      </c>
      <c r="G84" s="775">
        <v>1</v>
      </c>
      <c r="H84" s="1022">
        <v>0</v>
      </c>
      <c r="I84" s="775">
        <v>1</v>
      </c>
      <c r="J84" s="775">
        <v>1</v>
      </c>
      <c r="K84" s="775">
        <v>1</v>
      </c>
      <c r="L84" s="775">
        <v>1</v>
      </c>
      <c r="M84" s="775">
        <v>1</v>
      </c>
      <c r="N84" s="775">
        <v>1</v>
      </c>
      <c r="O84" s="775">
        <v>1</v>
      </c>
      <c r="P84" s="775">
        <v>1</v>
      </c>
      <c r="Q84" s="775">
        <v>1</v>
      </c>
      <c r="R84" s="775">
        <v>1</v>
      </c>
      <c r="T84" s="221">
        <f t="shared" si="166"/>
        <v>1</v>
      </c>
      <c r="U84" s="222">
        <f>IF(AD_refrig=AD_no,T84,0)</f>
        <v>0</v>
      </c>
      <c r="V84" s="167"/>
      <c r="W84" s="167"/>
      <c r="X84" s="167"/>
      <c r="Y84" s="169">
        <f>IF($Y$4=$Y$6,T84,0)</f>
        <v>0</v>
      </c>
      <c r="Z84" s="168">
        <f>VLOOKUP(B84,'Manuell filtrering og justering'!$A$7:$H$107,'Manuell filtrering og justering'!$H$1,FALSE)</f>
        <v>0</v>
      </c>
      <c r="AA84" s="169">
        <f t="shared" si="168"/>
        <v>0</v>
      </c>
      <c r="AB84" s="170">
        <f>IF($AC$5='Manuell filtrering og justering'!$J$2,Z84,(T84-AA84))</f>
        <v>1</v>
      </c>
      <c r="AD84" s="171">
        <f t="shared" si="136"/>
        <v>5.1851851851851859E-3</v>
      </c>
      <c r="AE84" s="171">
        <f t="shared" si="144"/>
        <v>0</v>
      </c>
      <c r="AF84" s="171">
        <f t="shared" si="145"/>
        <v>0</v>
      </c>
      <c r="AG84" s="171">
        <f t="shared" si="146"/>
        <v>0</v>
      </c>
      <c r="AI84" s="172">
        <f>IF(VLOOKUP(E84,'Pre-Assessment Estimator'!$E$11:$Z$226,'Pre-Assessment Estimator'!$G$2,FALSE)&gt;AB84,AB84,VLOOKUP(E84,'Pre-Assessment Estimator'!$E$11:$Z$226,'Pre-Assessment Estimator'!$G$2,FALSE))</f>
        <v>0</v>
      </c>
      <c r="AJ84" s="172">
        <f>IF(VLOOKUP(E84,'Pre-Assessment Estimator'!$E$11:$Z$226,'Pre-Assessment Estimator'!$N$2,FALSE)&gt;AB84,AB84,VLOOKUP(E84,'Pre-Assessment Estimator'!$E$11:$Z$226,'Pre-Assessment Estimator'!$N$2,FALSE))</f>
        <v>0</v>
      </c>
      <c r="AK84" s="172">
        <f>IF(VLOOKUP(E84,'Pre-Assessment Estimator'!$E$11:$Z$226,'Pre-Assessment Estimator'!$U$2,FALSE)&gt;AB84,AB84,VLOOKUP(E84,'Pre-Assessment Estimator'!$E$11:$Z$226,'Pre-Assessment Estimator'!$U$2,FALSE))</f>
        <v>0</v>
      </c>
      <c r="AM84" s="292"/>
      <c r="AN84" s="293"/>
      <c r="AO84" s="293"/>
      <c r="AP84" s="293"/>
      <c r="AQ84" s="294"/>
      <c r="AS84" s="292"/>
      <c r="AT84" s="293"/>
      <c r="AU84" s="293"/>
      <c r="AV84" s="293"/>
      <c r="AW84" s="294"/>
      <c r="AY84" s="188"/>
      <c r="AZ84" s="189"/>
      <c r="BA84" s="189"/>
      <c r="BB84" s="189"/>
      <c r="BC84" s="190"/>
      <c r="BD84" s="182">
        <f t="shared" si="160"/>
        <v>9</v>
      </c>
      <c r="BE84" s="164" t="str">
        <f t="shared" si="139"/>
        <v>N/A</v>
      </c>
      <c r="BF84" s="185"/>
      <c r="BG84" s="182">
        <f t="shared" si="161"/>
        <v>9</v>
      </c>
      <c r="BH84" s="164" t="str">
        <f t="shared" si="141"/>
        <v>N/A</v>
      </c>
      <c r="BI84" s="185"/>
      <c r="BJ84" s="182">
        <f t="shared" si="162"/>
        <v>9</v>
      </c>
      <c r="BK84" s="164" t="str">
        <f t="shared" si="142"/>
        <v>N/A</v>
      </c>
      <c r="BL84" s="185"/>
      <c r="BO84" s="167"/>
      <c r="BP84" s="167"/>
      <c r="BQ84" s="167" t="str">
        <f t="shared" si="157"/>
        <v/>
      </c>
      <c r="BR84" s="167">
        <f t="shared" si="55"/>
        <v>9</v>
      </c>
      <c r="BS84" s="167">
        <f t="shared" si="56"/>
        <v>9</v>
      </c>
      <c r="BT84" s="167">
        <f t="shared" si="57"/>
        <v>9</v>
      </c>
      <c r="BW84" s="167"/>
      <c r="BX84" s="167"/>
      <c r="BY84" s="230"/>
      <c r="BZ84" s="167"/>
      <c r="CA84" s="680"/>
      <c r="CB84" s="167"/>
      <c r="CE84" s="99"/>
      <c r="CG84" s="681"/>
    </row>
    <row r="85" spans="1:85" x14ac:dyDescent="0.25">
      <c r="A85" s="96">
        <v>77</v>
      </c>
      <c r="B85" s="96" t="str">
        <f t="shared" si="172"/>
        <v>Ene 05b</v>
      </c>
      <c r="C85" s="96" t="str">
        <f t="shared" si="159"/>
        <v>Ene 05</v>
      </c>
      <c r="D85" s="163" t="s">
        <v>696</v>
      </c>
      <c r="E85" s="1123" t="s">
        <v>631</v>
      </c>
      <c r="F85" s="775">
        <v>1</v>
      </c>
      <c r="G85" s="775">
        <v>1</v>
      </c>
      <c r="H85" s="1022">
        <v>0</v>
      </c>
      <c r="I85" s="775">
        <v>1</v>
      </c>
      <c r="J85" s="775">
        <v>1</v>
      </c>
      <c r="K85" s="775">
        <v>1</v>
      </c>
      <c r="L85" s="775">
        <v>1</v>
      </c>
      <c r="M85" s="775">
        <v>1</v>
      </c>
      <c r="N85" s="775">
        <v>1</v>
      </c>
      <c r="O85" s="775">
        <v>1</v>
      </c>
      <c r="P85" s="775">
        <v>1</v>
      </c>
      <c r="Q85" s="775">
        <v>1</v>
      </c>
      <c r="R85" s="775">
        <v>1</v>
      </c>
      <c r="T85" s="221">
        <f t="shared" si="166"/>
        <v>1</v>
      </c>
      <c r="U85" s="222">
        <f>IF(AD_refrig=AD_no,T85,0)</f>
        <v>0</v>
      </c>
      <c r="V85" s="167"/>
      <c r="W85" s="167"/>
      <c r="X85" s="167"/>
      <c r="Y85" s="169">
        <f>IF($Y$4=$Y$6,T85,0)</f>
        <v>0</v>
      </c>
      <c r="Z85" s="168">
        <f>VLOOKUP(B85,'Manuell filtrering og justering'!$A$7:$H$107,'Manuell filtrering og justering'!$H$1,FALSE)</f>
        <v>0</v>
      </c>
      <c r="AA85" s="169">
        <f t="shared" si="168"/>
        <v>0</v>
      </c>
      <c r="AB85" s="170">
        <f>IF($AC$5='Manuell filtrering og justering'!$J$2,Z85,(T85-AA85))</f>
        <v>1</v>
      </c>
      <c r="AD85" s="171">
        <f t="shared" si="136"/>
        <v>5.1851851851851859E-3</v>
      </c>
      <c r="AE85" s="171">
        <f t="shared" si="144"/>
        <v>0</v>
      </c>
      <c r="AF85" s="171">
        <f t="shared" si="145"/>
        <v>0</v>
      </c>
      <c r="AG85" s="171">
        <f t="shared" si="146"/>
        <v>0</v>
      </c>
      <c r="AI85" s="172">
        <f>IF(VLOOKUP(E85,'Pre-Assessment Estimator'!$E$11:$Z$226,'Pre-Assessment Estimator'!$G$2,FALSE)&gt;AB85,AB85,VLOOKUP(E85,'Pre-Assessment Estimator'!$E$11:$Z$226,'Pre-Assessment Estimator'!$G$2,FALSE))</f>
        <v>0</v>
      </c>
      <c r="AJ85" s="172">
        <f>IF(VLOOKUP(E85,'Pre-Assessment Estimator'!$E$11:$Z$226,'Pre-Assessment Estimator'!$N$2,FALSE)&gt;AB85,AB85,VLOOKUP(E85,'Pre-Assessment Estimator'!$E$11:$Z$226,'Pre-Assessment Estimator'!$N$2,FALSE))</f>
        <v>0</v>
      </c>
      <c r="AK85" s="172">
        <f>IF(VLOOKUP(E85,'Pre-Assessment Estimator'!$E$11:$Z$226,'Pre-Assessment Estimator'!$U$2,FALSE)&gt;AB85,AB85,VLOOKUP(E85,'Pre-Assessment Estimator'!$E$11:$Z$226,'Pre-Assessment Estimator'!$U$2,FALSE))</f>
        <v>0</v>
      </c>
      <c r="AM85" s="292"/>
      <c r="AN85" s="293"/>
      <c r="AO85" s="293"/>
      <c r="AP85" s="293"/>
      <c r="AQ85" s="294"/>
      <c r="AS85" s="292"/>
      <c r="AT85" s="293"/>
      <c r="AU85" s="293"/>
      <c r="AV85" s="293"/>
      <c r="AW85" s="294"/>
      <c r="AY85" s="188"/>
      <c r="AZ85" s="189"/>
      <c r="BA85" s="189"/>
      <c r="BB85" s="189"/>
      <c r="BC85" s="190"/>
      <c r="BD85" s="182">
        <f t="shared" si="160"/>
        <v>9</v>
      </c>
      <c r="BE85" s="164" t="str">
        <f t="shared" si="139"/>
        <v>N/A</v>
      </c>
      <c r="BF85" s="185"/>
      <c r="BG85" s="182">
        <f t="shared" si="161"/>
        <v>9</v>
      </c>
      <c r="BH85" s="164" t="str">
        <f t="shared" si="141"/>
        <v>N/A</v>
      </c>
      <c r="BI85" s="185"/>
      <c r="BJ85" s="182">
        <f t="shared" si="162"/>
        <v>9</v>
      </c>
      <c r="BK85" s="164" t="str">
        <f t="shared" si="142"/>
        <v>N/A</v>
      </c>
      <c r="BL85" s="185"/>
      <c r="BO85" s="167"/>
      <c r="BP85" s="167"/>
      <c r="BQ85" s="167" t="str">
        <f t="shared" si="157"/>
        <v/>
      </c>
      <c r="BR85" s="167">
        <f t="shared" si="55"/>
        <v>9</v>
      </c>
      <c r="BS85" s="167">
        <f t="shared" si="56"/>
        <v>9</v>
      </c>
      <c r="BT85" s="167">
        <f t="shared" si="57"/>
        <v>9</v>
      </c>
      <c r="BW85" s="167"/>
      <c r="BX85" s="167"/>
      <c r="BY85" s="230"/>
      <c r="BZ85" s="167"/>
      <c r="CA85" s="680"/>
      <c r="CB85" s="167"/>
      <c r="CE85" s="99"/>
      <c r="CG85" s="681"/>
    </row>
    <row r="86" spans="1:85" x14ac:dyDescent="0.25">
      <c r="A86" s="96">
        <v>78</v>
      </c>
      <c r="B86" s="137" t="str">
        <f>D86</f>
        <v>Ene 06</v>
      </c>
      <c r="C86" s="137" t="str">
        <f>B86</f>
        <v>Ene 06</v>
      </c>
      <c r="D86" s="834" t="s">
        <v>140</v>
      </c>
      <c r="E86" s="832" t="s">
        <v>131</v>
      </c>
      <c r="F86" s="933">
        <f t="shared" ref="F86:R86" si="173">SUM(F87:F89)</f>
        <v>3</v>
      </c>
      <c r="G86" s="933">
        <f t="shared" si="173"/>
        <v>3</v>
      </c>
      <c r="H86" s="933">
        <f t="shared" si="173"/>
        <v>3</v>
      </c>
      <c r="I86" s="933">
        <f t="shared" si="173"/>
        <v>3</v>
      </c>
      <c r="J86" s="933">
        <f t="shared" si="173"/>
        <v>3</v>
      </c>
      <c r="K86" s="933">
        <f t="shared" si="173"/>
        <v>3</v>
      </c>
      <c r="L86" s="933">
        <f t="shared" si="173"/>
        <v>3</v>
      </c>
      <c r="M86" s="933">
        <f t="shared" si="173"/>
        <v>3</v>
      </c>
      <c r="N86" s="933">
        <f t="shared" si="173"/>
        <v>3</v>
      </c>
      <c r="O86" s="933">
        <f t="shared" si="173"/>
        <v>3</v>
      </c>
      <c r="P86" s="933">
        <f t="shared" si="173"/>
        <v>3</v>
      </c>
      <c r="Q86" s="933">
        <f t="shared" ref="Q86" si="174">SUM(Q87:Q89)</f>
        <v>3</v>
      </c>
      <c r="R86" s="933">
        <f t="shared" si="173"/>
        <v>3</v>
      </c>
      <c r="T86" s="963">
        <f t="shared" si="166"/>
        <v>3</v>
      </c>
      <c r="U86" s="230">
        <f>U87+U88+U89</f>
        <v>0</v>
      </c>
      <c r="V86" s="230"/>
      <c r="W86" s="230"/>
      <c r="X86" s="230">
        <f>'Manuell filtrering og justering'!E34</f>
        <v>0</v>
      </c>
      <c r="Y86" s="230"/>
      <c r="Z86" s="958">
        <f t="shared" ref="Z86" si="175">SUM(Z87:Z89)</f>
        <v>3</v>
      </c>
      <c r="AA86" s="963">
        <f t="shared" si="168"/>
        <v>0</v>
      </c>
      <c r="AB86" s="1066">
        <f>SUM(AB87:AB89)</f>
        <v>3</v>
      </c>
      <c r="AD86" s="171">
        <f t="shared" si="136"/>
        <v>1.5555555555555559E-2</v>
      </c>
      <c r="AE86" s="921">
        <f>SUM(AE87:AE89)</f>
        <v>0</v>
      </c>
      <c r="AF86" s="921">
        <f t="shared" ref="AF86:AG86" si="176">SUM(AF87:AF89)</f>
        <v>0</v>
      </c>
      <c r="AG86" s="921">
        <f t="shared" si="176"/>
        <v>0</v>
      </c>
      <c r="AI86" s="958">
        <f t="shared" ref="AI86:AK86" si="177">SUM(AI87:AI89)</f>
        <v>0</v>
      </c>
      <c r="AJ86" s="958">
        <f t="shared" si="177"/>
        <v>0</v>
      </c>
      <c r="AK86" s="958">
        <f t="shared" si="177"/>
        <v>0</v>
      </c>
      <c r="AM86" s="292"/>
      <c r="AN86" s="293"/>
      <c r="AO86" s="293"/>
      <c r="AP86" s="293"/>
      <c r="AQ86" s="294"/>
      <c r="AS86" s="292"/>
      <c r="AT86" s="293"/>
      <c r="AU86" s="293"/>
      <c r="AV86" s="293"/>
      <c r="AW86" s="294"/>
      <c r="AY86" s="188"/>
      <c r="AZ86" s="189"/>
      <c r="BA86" s="189"/>
      <c r="BB86" s="189"/>
      <c r="BC86" s="190"/>
      <c r="BD86" s="182">
        <f t="shared" si="160"/>
        <v>9</v>
      </c>
      <c r="BE86" s="164" t="str">
        <f t="shared" si="139"/>
        <v>N/A</v>
      </c>
      <c r="BF86" s="185"/>
      <c r="BG86" s="182">
        <f t="shared" si="161"/>
        <v>9</v>
      </c>
      <c r="BH86" s="164" t="str">
        <f t="shared" si="141"/>
        <v>N/A</v>
      </c>
      <c r="BI86" s="185"/>
      <c r="BJ86" s="182">
        <f t="shared" si="162"/>
        <v>9</v>
      </c>
      <c r="BK86" s="164" t="str">
        <f t="shared" si="142"/>
        <v>N/A</v>
      </c>
      <c r="BL86" s="185"/>
      <c r="BO86" s="167"/>
      <c r="BP86" s="167"/>
      <c r="BQ86" s="167" t="str">
        <f t="shared" si="157"/>
        <v/>
      </c>
      <c r="BR86" s="167">
        <f t="shared" si="55"/>
        <v>9</v>
      </c>
      <c r="BS86" s="167">
        <f t="shared" si="56"/>
        <v>9</v>
      </c>
      <c r="BT86" s="167">
        <f t="shared" si="57"/>
        <v>9</v>
      </c>
      <c r="BW86" s="167" t="str">
        <f>D86</f>
        <v>Ene 06</v>
      </c>
      <c r="BX86" s="167" t="str">
        <f>IFERROR(VLOOKUP($E86,'Pre-Assessment Estimator'!$E$11:$AB$226,'Pre-Assessment Estimator'!AB$2,FALSE),"")</f>
        <v>No</v>
      </c>
      <c r="BY86" s="167">
        <f>IFERROR(VLOOKUP($E86,'Pre-Assessment Estimator'!$E$11:$AI$226,'Pre-Assessment Estimator'!AI$2,FALSE),"")</f>
        <v>0</v>
      </c>
      <c r="BZ86" s="167">
        <f>IFERROR(VLOOKUP($BX86,$E$293:$H$326,F$291,FALSE),"")</f>
        <v>1</v>
      </c>
      <c r="CA86" s="167">
        <f>IFERROR(VLOOKUP($BX86,$E$293:$H$326,G$291,FALSE),"")</f>
        <v>0</v>
      </c>
      <c r="CB86" s="167"/>
      <c r="CC86" s="96" t="str">
        <f>IFERROR(VLOOKUP($BX86,$E$293:$H$326,I$291,FALSE),"")</f>
        <v/>
      </c>
    </row>
    <row r="87" spans="1:85" x14ac:dyDescent="0.25">
      <c r="A87" s="96">
        <v>79</v>
      </c>
      <c r="B87" s="96" t="str">
        <f t="shared" ref="B87:B89" si="178">$D$86&amp;D87</f>
        <v>Ene 06a</v>
      </c>
      <c r="C87" s="96" t="str">
        <f t="shared" si="159"/>
        <v>Ene 06</v>
      </c>
      <c r="D87" s="163" t="s">
        <v>693</v>
      </c>
      <c r="E87" s="1123" t="s">
        <v>892</v>
      </c>
      <c r="F87" s="775">
        <v>1</v>
      </c>
      <c r="G87" s="775">
        <v>1</v>
      </c>
      <c r="H87" s="775">
        <v>1</v>
      </c>
      <c r="I87" s="775">
        <v>1</v>
      </c>
      <c r="J87" s="775">
        <v>1</v>
      </c>
      <c r="K87" s="775">
        <v>1</v>
      </c>
      <c r="L87" s="775">
        <v>1</v>
      </c>
      <c r="M87" s="775">
        <v>1</v>
      </c>
      <c r="N87" s="775">
        <v>1</v>
      </c>
      <c r="O87" s="775">
        <v>1</v>
      </c>
      <c r="P87" s="775">
        <v>1</v>
      </c>
      <c r="Q87" s="775">
        <v>1</v>
      </c>
      <c r="R87" s="775">
        <v>1</v>
      </c>
      <c r="T87" s="221">
        <f t="shared" si="166"/>
        <v>1</v>
      </c>
      <c r="U87" s="222">
        <f>IF(AD_Trans=AD_no,Poeng!T87,0)</f>
        <v>0</v>
      </c>
      <c r="V87" s="167"/>
      <c r="W87" s="167"/>
      <c r="X87" s="167"/>
      <c r="Y87" s="168"/>
      <c r="Z87" s="168">
        <f>VLOOKUP(B87,'Manuell filtrering og justering'!$A$7:$H$107,'Manuell filtrering og justering'!$H$1,FALSE)</f>
        <v>1</v>
      </c>
      <c r="AA87" s="169">
        <f t="shared" si="168"/>
        <v>0</v>
      </c>
      <c r="AB87" s="170">
        <f>IF($AC$5='Manuell filtrering og justering'!$J$2,Z87,(T87-AA87))</f>
        <v>1</v>
      </c>
      <c r="AD87" s="171">
        <f t="shared" si="136"/>
        <v>5.1851851851851859E-3</v>
      </c>
      <c r="AE87" s="171">
        <f t="shared" si="144"/>
        <v>0</v>
      </c>
      <c r="AF87" s="171">
        <f t="shared" si="145"/>
        <v>0</v>
      </c>
      <c r="AG87" s="171">
        <f t="shared" si="146"/>
        <v>0</v>
      </c>
      <c r="AI87" s="172">
        <f>IF(VLOOKUP(E87,'Pre-Assessment Estimator'!$E$11:$Z$226,'Pre-Assessment Estimator'!$G$2,FALSE)&gt;AB87,AB87,VLOOKUP(E87,'Pre-Assessment Estimator'!$E$11:$Z$226,'Pre-Assessment Estimator'!$G$2,FALSE))</f>
        <v>0</v>
      </c>
      <c r="AJ87" s="172">
        <f>IF(VLOOKUP(E87,'Pre-Assessment Estimator'!$E$11:$Z$226,'Pre-Assessment Estimator'!$N$2,FALSE)&gt;AB87,AB87,VLOOKUP(E87,'Pre-Assessment Estimator'!$E$11:$Z$226,'Pre-Assessment Estimator'!$N$2,FALSE))</f>
        <v>0</v>
      </c>
      <c r="AK87" s="172">
        <f>IF(VLOOKUP(E87,'Pre-Assessment Estimator'!$E$11:$Z$226,'Pre-Assessment Estimator'!$U$2,FALSE)&gt;AB87,AB87,VLOOKUP(E87,'Pre-Assessment Estimator'!$E$11:$Z$226,'Pre-Assessment Estimator'!$U$2,FALSE))</f>
        <v>0</v>
      </c>
      <c r="AM87" s="292"/>
      <c r="AN87" s="293"/>
      <c r="AO87" s="293"/>
      <c r="AP87" s="293"/>
      <c r="AQ87" s="294"/>
      <c r="AS87" s="292"/>
      <c r="AT87" s="293"/>
      <c r="AU87" s="293"/>
      <c r="AV87" s="293"/>
      <c r="AW87" s="294"/>
      <c r="AY87" s="188"/>
      <c r="AZ87" s="189"/>
      <c r="BA87" s="189"/>
      <c r="BB87" s="189"/>
      <c r="BC87" s="190"/>
      <c r="BD87" s="182">
        <f t="shared" si="160"/>
        <v>9</v>
      </c>
      <c r="BE87" s="164" t="str">
        <f t="shared" si="139"/>
        <v>N/A</v>
      </c>
      <c r="BF87" s="185"/>
      <c r="BG87" s="182">
        <f t="shared" si="161"/>
        <v>9</v>
      </c>
      <c r="BH87" s="164" t="str">
        <f t="shared" si="141"/>
        <v>N/A</v>
      </c>
      <c r="BI87" s="185"/>
      <c r="BJ87" s="182">
        <f t="shared" si="162"/>
        <v>9</v>
      </c>
      <c r="BK87" s="164" t="str">
        <f t="shared" si="142"/>
        <v>N/A</v>
      </c>
      <c r="BL87" s="185"/>
      <c r="BO87" s="167"/>
      <c r="BP87" s="167"/>
      <c r="BQ87" s="167" t="str">
        <f t="shared" si="157"/>
        <v/>
      </c>
      <c r="BR87" s="167">
        <f t="shared" si="55"/>
        <v>9</v>
      </c>
      <c r="BS87" s="167">
        <f t="shared" si="56"/>
        <v>9</v>
      </c>
      <c r="BT87" s="167">
        <f t="shared" si="57"/>
        <v>9</v>
      </c>
      <c r="BW87" s="167"/>
      <c r="BX87" s="167"/>
      <c r="BY87" s="167"/>
      <c r="BZ87" s="167"/>
      <c r="CA87" s="167"/>
      <c r="CB87" s="167"/>
    </row>
    <row r="88" spans="1:85" x14ac:dyDescent="0.25">
      <c r="A88" s="96">
        <v>80</v>
      </c>
      <c r="B88" s="96" t="str">
        <f t="shared" si="178"/>
        <v>Ene 06b</v>
      </c>
      <c r="C88" s="96" t="str">
        <f t="shared" si="159"/>
        <v>Ene 06</v>
      </c>
      <c r="D88" s="163" t="s">
        <v>696</v>
      </c>
      <c r="E88" s="1123" t="s">
        <v>994</v>
      </c>
      <c r="F88" s="775">
        <v>1</v>
      </c>
      <c r="G88" s="775">
        <v>1</v>
      </c>
      <c r="H88" s="775">
        <v>1</v>
      </c>
      <c r="I88" s="775">
        <v>1</v>
      </c>
      <c r="J88" s="775">
        <v>1</v>
      </c>
      <c r="K88" s="775">
        <v>1</v>
      </c>
      <c r="L88" s="775">
        <v>1</v>
      </c>
      <c r="M88" s="775">
        <v>1</v>
      </c>
      <c r="N88" s="775">
        <v>1</v>
      </c>
      <c r="O88" s="775">
        <v>1</v>
      </c>
      <c r="P88" s="775">
        <v>1</v>
      </c>
      <c r="Q88" s="775">
        <v>1</v>
      </c>
      <c r="R88" s="775">
        <v>1</v>
      </c>
      <c r="T88" s="221">
        <f t="shared" si="166"/>
        <v>1</v>
      </c>
      <c r="U88" s="222">
        <f>IF(OR(AD_Trans='Assessment Details'!R53,AD_Trans='Assessment Details'!Q53),Poeng!T88,0)</f>
        <v>0</v>
      </c>
      <c r="V88" s="167"/>
      <c r="W88" s="167"/>
      <c r="X88" s="167"/>
      <c r="Y88" s="168"/>
      <c r="Z88" s="168">
        <f>VLOOKUP(B88,'Manuell filtrering og justering'!$A$7:$H$107,'Manuell filtrering og justering'!$H$1,FALSE)</f>
        <v>1</v>
      </c>
      <c r="AA88" s="169">
        <f t="shared" si="168"/>
        <v>0</v>
      </c>
      <c r="AB88" s="170">
        <f>IF($AC$5='Manuell filtrering og justering'!$J$2,Z88,(T88-AA88))</f>
        <v>1</v>
      </c>
      <c r="AD88" s="171">
        <f t="shared" ref="AD88" si="179">(Ene_Weight/Ene_Credits)*AB88</f>
        <v>5.1851851851851859E-3</v>
      </c>
      <c r="AE88" s="171">
        <f t="shared" ref="AE88" si="180">IF(AB88=0,0,(AD88/AB88)*AI88)</f>
        <v>0</v>
      </c>
      <c r="AF88" s="171">
        <f t="shared" ref="AF88" si="181">IF(AB88=0,0,(AD88/AB88)*AJ88)</f>
        <v>0</v>
      </c>
      <c r="AG88" s="171">
        <f t="shared" ref="AG88" si="182">IF(AB88=0,0,(AD88/AB88)*AK88)</f>
        <v>0</v>
      </c>
      <c r="AI88" s="172">
        <f>IF(VLOOKUP(E88,'Pre-Assessment Estimator'!$E$11:$Z$226,'Pre-Assessment Estimator'!$G$2,FALSE)&gt;AB88,AB88,VLOOKUP(E88,'Pre-Assessment Estimator'!$E$11:$Z$226,'Pre-Assessment Estimator'!$G$2,FALSE))</f>
        <v>0</v>
      </c>
      <c r="AJ88" s="172">
        <f>IF(VLOOKUP(E88,'Pre-Assessment Estimator'!$E$11:$Z$226,'Pre-Assessment Estimator'!$N$2,FALSE)&gt;AB88,AB88,VLOOKUP(E88,'Pre-Assessment Estimator'!$E$11:$Z$226,'Pre-Assessment Estimator'!$N$2,FALSE))</f>
        <v>0</v>
      </c>
      <c r="AK88" s="172">
        <f>IF(VLOOKUP(E88,'Pre-Assessment Estimator'!$E$11:$Z$226,'Pre-Assessment Estimator'!$U$2,FALSE)&gt;AB88,AB88,VLOOKUP(E88,'Pre-Assessment Estimator'!$E$11:$Z$226,'Pre-Assessment Estimator'!$U$2,FALSE))</f>
        <v>0</v>
      </c>
      <c r="AM88" s="292"/>
      <c r="AN88" s="293"/>
      <c r="AO88" s="293"/>
      <c r="AP88" s="293"/>
      <c r="AQ88" s="294"/>
      <c r="AS88" s="292"/>
      <c r="AT88" s="293"/>
      <c r="AU88" s="293"/>
      <c r="AV88" s="293"/>
      <c r="AW88" s="294"/>
      <c r="AY88" s="188"/>
      <c r="AZ88" s="189"/>
      <c r="BA88" s="189"/>
      <c r="BB88" s="189"/>
      <c r="BC88" s="190"/>
      <c r="BD88" s="182">
        <f t="shared" ref="BD88" si="183">IF(BC88=0,9,IF((AI88-CG88)&gt;=BC88,5,IF((AI88-CG88)&gt;=BB88,4,IF((AI88-CG88)&gt;=BA88,3,IF((AI88-CG88)&gt;=AZ88,2,IF((AI88-CG88)&lt;AY88,0,1))))))</f>
        <v>9</v>
      </c>
      <c r="BE88" s="164" t="str">
        <f t="shared" si="139"/>
        <v>N/A</v>
      </c>
      <c r="BF88" s="185"/>
      <c r="BG88" s="182">
        <f t="shared" ref="BG88" si="184">IF(BC88=0,9,IF((AJ88-CG88)&gt;=BC88,5,IF((AJ88-CG88)&gt;=BB88,4,IF((AJ88-CG88)&gt;=BA88,3,IF((AJ88-CG88)&gt;=AZ88,2,IF((AJ88-CG88)&lt;AY88,0,1))))))</f>
        <v>9</v>
      </c>
      <c r="BH88" s="164" t="str">
        <f t="shared" si="141"/>
        <v>N/A</v>
      </c>
      <c r="BI88" s="185"/>
      <c r="BJ88" s="182">
        <f t="shared" ref="BJ88" si="185">IF(BC88=0,9,IF((AK88-CG88)&gt;=BC88,5,IF((AK88-CG88)&gt;=BB88,4,IF((AK88-CG88)&gt;=BA88,3,IF((AK88-CG88)&gt;=AZ88,2,IF((AK88-CG88)&lt;AY88,0,1))))))</f>
        <v>9</v>
      </c>
      <c r="BK88" s="164" t="str">
        <f t="shared" si="142"/>
        <v>N/A</v>
      </c>
      <c r="BL88" s="185"/>
      <c r="BO88" s="167"/>
      <c r="BP88" s="167"/>
      <c r="BQ88" s="167" t="str">
        <f t="shared" si="157"/>
        <v/>
      </c>
      <c r="BR88" s="167">
        <f t="shared" si="55"/>
        <v>9</v>
      </c>
      <c r="BS88" s="167">
        <f t="shared" si="56"/>
        <v>9</v>
      </c>
      <c r="BT88" s="167">
        <f t="shared" si="57"/>
        <v>9</v>
      </c>
      <c r="BW88" s="167"/>
      <c r="BX88" s="167"/>
      <c r="BY88" s="167"/>
      <c r="BZ88" s="167"/>
      <c r="CA88" s="167"/>
      <c r="CB88" s="167"/>
    </row>
    <row r="89" spans="1:85" x14ac:dyDescent="0.25">
      <c r="A89" s="96">
        <v>81</v>
      </c>
      <c r="B89" s="96" t="str">
        <f t="shared" si="178"/>
        <v>Ene 06c</v>
      </c>
      <c r="C89" s="96" t="str">
        <f t="shared" si="159"/>
        <v>Ene 06</v>
      </c>
      <c r="D89" s="163" t="s">
        <v>697</v>
      </c>
      <c r="E89" s="1123" t="s">
        <v>995</v>
      </c>
      <c r="F89" s="775">
        <v>1</v>
      </c>
      <c r="G89" s="775">
        <v>1</v>
      </c>
      <c r="H89" s="775">
        <v>1</v>
      </c>
      <c r="I89" s="775">
        <v>1</v>
      </c>
      <c r="J89" s="775">
        <v>1</v>
      </c>
      <c r="K89" s="775">
        <v>1</v>
      </c>
      <c r="L89" s="775">
        <v>1</v>
      </c>
      <c r="M89" s="775">
        <v>1</v>
      </c>
      <c r="N89" s="775">
        <v>1</v>
      </c>
      <c r="O89" s="775">
        <v>1</v>
      </c>
      <c r="P89" s="775">
        <v>1</v>
      </c>
      <c r="Q89" s="775">
        <v>1</v>
      </c>
      <c r="R89" s="775">
        <v>1</v>
      </c>
      <c r="T89" s="221">
        <f t="shared" si="166"/>
        <v>1</v>
      </c>
      <c r="U89" s="222">
        <f>IF(OR(AD_Trans='Assessment Details'!R53,AD_Trans='Assessment Details'!Q52),Poeng!T88,0)</f>
        <v>0</v>
      </c>
      <c r="V89" s="167"/>
      <c r="W89" s="167"/>
      <c r="X89" s="167"/>
      <c r="Y89" s="168"/>
      <c r="Z89" s="168">
        <f>VLOOKUP(B89,'Manuell filtrering og justering'!$A$7:$H$107,'Manuell filtrering og justering'!$H$1,FALSE)</f>
        <v>1</v>
      </c>
      <c r="AA89" s="169">
        <f t="shared" si="168"/>
        <v>0</v>
      </c>
      <c r="AB89" s="170">
        <f>IF($AC$5='Manuell filtrering og justering'!$J$2,Z89,(T89-AA89))</f>
        <v>1</v>
      </c>
      <c r="AD89" s="171">
        <f t="shared" si="136"/>
        <v>5.1851851851851859E-3</v>
      </c>
      <c r="AE89" s="171">
        <f t="shared" si="144"/>
        <v>0</v>
      </c>
      <c r="AF89" s="171">
        <f t="shared" si="145"/>
        <v>0</v>
      </c>
      <c r="AG89" s="171">
        <f t="shared" si="146"/>
        <v>0</v>
      </c>
      <c r="AI89" s="172">
        <f>IF(VLOOKUP(E89,'Pre-Assessment Estimator'!$E$11:$Z$226,'Pre-Assessment Estimator'!$G$2,FALSE)&gt;AB89,AB89,VLOOKUP(E89,'Pre-Assessment Estimator'!$E$11:$Z$226,'Pre-Assessment Estimator'!$G$2,FALSE))</f>
        <v>0</v>
      </c>
      <c r="AJ89" s="172">
        <f>IF(VLOOKUP(E89,'Pre-Assessment Estimator'!$E$11:$Z$226,'Pre-Assessment Estimator'!$N$2,FALSE)&gt;AB89,AB89,VLOOKUP(E89,'Pre-Assessment Estimator'!$E$11:$Z$226,'Pre-Assessment Estimator'!$N$2,FALSE))</f>
        <v>0</v>
      </c>
      <c r="AK89" s="172">
        <f>IF(VLOOKUP(E89,'Pre-Assessment Estimator'!$E$11:$Z$226,'Pre-Assessment Estimator'!$U$2,FALSE)&gt;AB89,AB89,VLOOKUP(E89,'Pre-Assessment Estimator'!$E$11:$Z$226,'Pre-Assessment Estimator'!$U$2,FALSE))</f>
        <v>0</v>
      </c>
      <c r="AM89" s="292"/>
      <c r="AN89" s="293"/>
      <c r="AO89" s="293"/>
      <c r="AP89" s="293"/>
      <c r="AQ89" s="294"/>
      <c r="AS89" s="292"/>
      <c r="AT89" s="293"/>
      <c r="AU89" s="293"/>
      <c r="AV89" s="293"/>
      <c r="AW89" s="294"/>
      <c r="AY89" s="188"/>
      <c r="AZ89" s="189"/>
      <c r="BA89" s="189"/>
      <c r="BB89" s="189"/>
      <c r="BC89" s="190"/>
      <c r="BD89" s="182">
        <f t="shared" si="160"/>
        <v>9</v>
      </c>
      <c r="BE89" s="164" t="str">
        <f t="shared" si="139"/>
        <v>N/A</v>
      </c>
      <c r="BF89" s="185"/>
      <c r="BG89" s="182">
        <f t="shared" si="161"/>
        <v>9</v>
      </c>
      <c r="BH89" s="164" t="str">
        <f t="shared" si="141"/>
        <v>N/A</v>
      </c>
      <c r="BI89" s="185"/>
      <c r="BJ89" s="182">
        <f t="shared" si="162"/>
        <v>9</v>
      </c>
      <c r="BK89" s="164" t="str">
        <f t="shared" si="142"/>
        <v>N/A</v>
      </c>
      <c r="BL89" s="185"/>
      <c r="BO89" s="167"/>
      <c r="BP89" s="167"/>
      <c r="BQ89" s="167" t="str">
        <f t="shared" si="157"/>
        <v/>
      </c>
      <c r="BR89" s="167">
        <f t="shared" si="55"/>
        <v>9</v>
      </c>
      <c r="BS89" s="167">
        <f t="shared" si="56"/>
        <v>9</v>
      </c>
      <c r="BT89" s="167">
        <f t="shared" si="57"/>
        <v>9</v>
      </c>
      <c r="BW89" s="167"/>
      <c r="BX89" s="167"/>
      <c r="BY89" s="167"/>
      <c r="BZ89" s="167"/>
      <c r="CA89" s="167"/>
      <c r="CB89" s="167"/>
    </row>
    <row r="90" spans="1:85" x14ac:dyDescent="0.25">
      <c r="A90" s="96">
        <v>82</v>
      </c>
      <c r="B90" s="137" t="str">
        <f>D90</f>
        <v>Ene 07</v>
      </c>
      <c r="C90" s="137" t="str">
        <f>B90</f>
        <v>Ene 07</v>
      </c>
      <c r="D90" s="834" t="s">
        <v>141</v>
      </c>
      <c r="E90" s="832" t="s">
        <v>132</v>
      </c>
      <c r="F90" s="933">
        <f>SUM(F91:F92)</f>
        <v>5</v>
      </c>
      <c r="G90" s="933">
        <f>SUM(G91:G92)</f>
        <v>0</v>
      </c>
      <c r="H90" s="933">
        <f t="shared" ref="H90:P90" si="186">SUM(H91:H92)</f>
        <v>0</v>
      </c>
      <c r="I90" s="933">
        <f t="shared" si="186"/>
        <v>5</v>
      </c>
      <c r="J90" s="933">
        <f t="shared" si="186"/>
        <v>5</v>
      </c>
      <c r="K90" s="933">
        <f t="shared" si="186"/>
        <v>0</v>
      </c>
      <c r="L90" s="933">
        <f t="shared" si="186"/>
        <v>0</v>
      </c>
      <c r="M90" s="933">
        <f t="shared" si="186"/>
        <v>0</v>
      </c>
      <c r="N90" s="933">
        <f t="shared" si="186"/>
        <v>0</v>
      </c>
      <c r="O90" s="933">
        <f t="shared" si="186"/>
        <v>0</v>
      </c>
      <c r="P90" s="933">
        <f t="shared" si="186"/>
        <v>0</v>
      </c>
      <c r="Q90" s="933">
        <f>SUM(Q91:Q92)</f>
        <v>5</v>
      </c>
      <c r="R90" s="933">
        <f>SUM(R91:R92)</f>
        <v>5</v>
      </c>
      <c r="T90" s="963">
        <f t="shared" si="166"/>
        <v>5</v>
      </c>
      <c r="U90" s="230">
        <f>U91+U92</f>
        <v>0</v>
      </c>
      <c r="V90" s="230">
        <f>V91+V92</f>
        <v>0</v>
      </c>
      <c r="W90" s="230"/>
      <c r="X90" s="230"/>
      <c r="Y90" s="230"/>
      <c r="Z90" s="958"/>
      <c r="AA90" s="963">
        <f t="shared" si="168"/>
        <v>0</v>
      </c>
      <c r="AB90" s="1066">
        <f t="shared" ref="AB90" si="187">SUM(AB91:AB92)</f>
        <v>5</v>
      </c>
      <c r="AD90" s="171">
        <f t="shared" si="136"/>
        <v>2.5925925925925929E-2</v>
      </c>
      <c r="AE90" s="921">
        <f>SUM(AE91:AE92)</f>
        <v>0</v>
      </c>
      <c r="AF90" s="921">
        <f t="shared" ref="AF90:AG90" si="188">SUM(AF91:AF92)</f>
        <v>0</v>
      </c>
      <c r="AG90" s="921">
        <f t="shared" si="188"/>
        <v>0</v>
      </c>
      <c r="AI90" s="958">
        <f t="shared" ref="AI90:AK90" si="189">SUM(AI91:AI92)</f>
        <v>0</v>
      </c>
      <c r="AJ90" s="958">
        <f t="shared" si="189"/>
        <v>0</v>
      </c>
      <c r="AK90" s="958">
        <f t="shared" si="189"/>
        <v>0</v>
      </c>
      <c r="AM90" s="292"/>
      <c r="AN90" s="293"/>
      <c r="AO90" s="293"/>
      <c r="AP90" s="293"/>
      <c r="AQ90" s="294"/>
      <c r="AS90" s="292"/>
      <c r="AT90" s="293"/>
      <c r="AU90" s="293"/>
      <c r="AV90" s="293"/>
      <c r="AW90" s="294"/>
      <c r="AY90" s="188"/>
      <c r="AZ90" s="189"/>
      <c r="BA90" s="189"/>
      <c r="BB90" s="189"/>
      <c r="BC90" s="190"/>
      <c r="BD90" s="182">
        <f t="shared" si="160"/>
        <v>9</v>
      </c>
      <c r="BE90" s="164" t="str">
        <f t="shared" si="139"/>
        <v>N/A</v>
      </c>
      <c r="BF90" s="185"/>
      <c r="BG90" s="182">
        <f t="shared" si="161"/>
        <v>9</v>
      </c>
      <c r="BH90" s="164" t="str">
        <f t="shared" si="141"/>
        <v>N/A</v>
      </c>
      <c r="BI90" s="185"/>
      <c r="BJ90" s="182">
        <f t="shared" si="162"/>
        <v>9</v>
      </c>
      <c r="BK90" s="164" t="str">
        <f t="shared" si="142"/>
        <v>N/A</v>
      </c>
      <c r="BL90" s="185"/>
      <c r="BO90" s="977"/>
      <c r="BP90" s="167"/>
      <c r="BQ90" s="167" t="str">
        <f t="shared" si="157"/>
        <v/>
      </c>
      <c r="BR90" s="167">
        <f t="shared" si="55"/>
        <v>9</v>
      </c>
      <c r="BS90" s="167">
        <f t="shared" si="56"/>
        <v>9</v>
      </c>
      <c r="BT90" s="167">
        <f t="shared" si="57"/>
        <v>9</v>
      </c>
      <c r="BW90" s="167" t="str">
        <f>D90</f>
        <v>Ene 07</v>
      </c>
      <c r="BX90" s="167" t="str">
        <f>IFERROR(VLOOKUP($E90,'Pre-Assessment Estimator'!$E$11:$AB$226,'Pre-Assessment Estimator'!AB$2,FALSE),"")</f>
        <v>N/A</v>
      </c>
      <c r="BY90" s="167">
        <f>IFERROR(VLOOKUP($E90,'Pre-Assessment Estimator'!$E$11:$AI$226,'Pre-Assessment Estimator'!AI$2,FALSE),"")</f>
        <v>0</v>
      </c>
      <c r="BZ90" s="167">
        <f>IFERROR(VLOOKUP($BX90,$E$293:$H$326,F$291,FALSE),"")</f>
        <v>1</v>
      </c>
      <c r="CA90" s="167">
        <f>IFERROR(VLOOKUP($BX90,$E$293:$H$326,G$291,FALSE),"")</f>
        <v>0</v>
      </c>
      <c r="CB90" s="167"/>
      <c r="CC90" s="96" t="str">
        <f>IFERROR(VLOOKUP($BX90,$E$293:$H$326,I$291,FALSE),"")</f>
        <v/>
      </c>
    </row>
    <row r="91" spans="1:85" x14ac:dyDescent="0.25">
      <c r="A91" s="96">
        <v>83</v>
      </c>
      <c r="B91" s="96" t="str">
        <f t="shared" ref="B91:B92" si="190">$D$90&amp;D91</f>
        <v>Ene 07a</v>
      </c>
      <c r="C91" s="96" t="str">
        <f t="shared" si="159"/>
        <v>Ene 07</v>
      </c>
      <c r="D91" s="163" t="s">
        <v>693</v>
      </c>
      <c r="E91" s="1123" t="s">
        <v>634</v>
      </c>
      <c r="F91" s="775">
        <v>1</v>
      </c>
      <c r="G91" s="1022">
        <v>0</v>
      </c>
      <c r="H91" s="1022">
        <v>0</v>
      </c>
      <c r="I91" s="775">
        <v>1</v>
      </c>
      <c r="J91" s="775">
        <v>1</v>
      </c>
      <c r="K91" s="1022">
        <v>0</v>
      </c>
      <c r="L91" s="1022">
        <v>0</v>
      </c>
      <c r="M91" s="1022">
        <v>0</v>
      </c>
      <c r="N91" s="1022">
        <v>0</v>
      </c>
      <c r="O91" s="1022">
        <v>0</v>
      </c>
      <c r="P91" s="1022">
        <v>0</v>
      </c>
      <c r="Q91" s="775">
        <v>1</v>
      </c>
      <c r="R91" s="775">
        <v>1</v>
      </c>
      <c r="T91" s="221">
        <f t="shared" si="166"/>
        <v>1</v>
      </c>
      <c r="U91" s="230">
        <f>IF(AND('Assessment Details'!H21=1,AD_Labsize=AD_Labsize03),Poeng!T91,0)</f>
        <v>0</v>
      </c>
      <c r="V91" s="167">
        <f>IF(AND(ADBT0=ADBT8,OR('Assessment Details'!F6='Assessment Details'!U6,'Assessment Details'!F6='Assessment Details'!U7,'Assessment Details'!F6='Assessment Details'!U8,'Assessment Details'!F6='Assessment Details'!U9)),T91,0)</f>
        <v>0</v>
      </c>
      <c r="W91" s="167"/>
      <c r="X91" s="167"/>
      <c r="Y91" s="169">
        <f>IF(OR($Y$4=$Y$6,Y4=Y5),T91,0)</f>
        <v>0</v>
      </c>
      <c r="Z91" s="168">
        <f>VLOOKUP(B91,'Manuell filtrering og justering'!$A$7:$H$107,'Manuell filtrering og justering'!$H$1,FALSE)</f>
        <v>0</v>
      </c>
      <c r="AA91" s="169">
        <f t="shared" si="168"/>
        <v>0</v>
      </c>
      <c r="AB91" s="170">
        <f>IF($AC$5='Manuell filtrering og justering'!$J$2,Z91,(T91-AA91))</f>
        <v>1</v>
      </c>
      <c r="AD91" s="171">
        <f t="shared" si="136"/>
        <v>5.1851851851851859E-3</v>
      </c>
      <c r="AE91" s="171">
        <f t="shared" si="144"/>
        <v>0</v>
      </c>
      <c r="AF91" s="171">
        <f t="shared" si="145"/>
        <v>0</v>
      </c>
      <c r="AG91" s="171">
        <f t="shared" si="146"/>
        <v>0</v>
      </c>
      <c r="AI91" s="172">
        <f>IF(VLOOKUP(E91,'Pre-Assessment Estimator'!$E$11:$Z$226,'Pre-Assessment Estimator'!$G$2,FALSE)&gt;AB91,AB91,VLOOKUP(E91,'Pre-Assessment Estimator'!$E$11:$Z$226,'Pre-Assessment Estimator'!$G$2,FALSE))</f>
        <v>0</v>
      </c>
      <c r="AJ91" s="172">
        <f>IF(VLOOKUP(E91,'Pre-Assessment Estimator'!$E$11:$Z$226,'Pre-Assessment Estimator'!$N$2,FALSE)&gt;AB91,AB91,VLOOKUP(E91,'Pre-Assessment Estimator'!$E$11:$Z$226,'Pre-Assessment Estimator'!$N$2,FALSE))</f>
        <v>0</v>
      </c>
      <c r="AK91" s="172">
        <f>IF(VLOOKUP(E91,'Pre-Assessment Estimator'!$E$11:$Z$226,'Pre-Assessment Estimator'!$U$2,FALSE)&gt;AB91,AB91,VLOOKUP(E91,'Pre-Assessment Estimator'!$E$11:$Z$226,'Pre-Assessment Estimator'!$U$2,FALSE))</f>
        <v>0</v>
      </c>
      <c r="AM91" s="1192">
        <f>IF(AB91=0,0,IF(AND($Y$4&lt;&gt;$Y$3,Y91&gt;0),0,1))</f>
        <v>1</v>
      </c>
      <c r="AN91" s="1193">
        <f>AM91</f>
        <v>1</v>
      </c>
      <c r="AO91" s="1193">
        <f>AM91</f>
        <v>1</v>
      </c>
      <c r="AP91" s="1193">
        <f>AM91</f>
        <v>1</v>
      </c>
      <c r="AQ91" s="1194">
        <f>AM91</f>
        <v>1</v>
      </c>
      <c r="AS91" s="292"/>
      <c r="AT91" s="293"/>
      <c r="AU91" s="293"/>
      <c r="AV91" s="293"/>
      <c r="AW91" s="294"/>
      <c r="AY91" s="183">
        <f>IF($AB91=0,0,IF($E$6=$H$9,AS91,AM91))</f>
        <v>1</v>
      </c>
      <c r="AZ91" s="183">
        <f>IF($AB91=0,0,IF($E$6=$H$9,AT91,AN91))</f>
        <v>1</v>
      </c>
      <c r="BA91" s="183">
        <f>IF($AB91=0,0,IF($E$6=$H$9,AU91,AO91))</f>
        <v>1</v>
      </c>
      <c r="BB91" s="183">
        <f>IF($AB91=0,0,IF($E$6=$H$9,AV91,AP91))</f>
        <v>1</v>
      </c>
      <c r="BC91" s="183">
        <f>IF($AB91=0,0,IF($E$6=$H$9,AW91,AQ91))</f>
        <v>1</v>
      </c>
      <c r="BD91" s="182">
        <f t="shared" si="160"/>
        <v>0</v>
      </c>
      <c r="BE91" s="164" t="str">
        <f t="shared" si="139"/>
        <v>Unclassified</v>
      </c>
      <c r="BF91" s="185"/>
      <c r="BG91" s="182">
        <f t="shared" si="161"/>
        <v>0</v>
      </c>
      <c r="BH91" s="164" t="str">
        <f t="shared" si="141"/>
        <v>Unclassified</v>
      </c>
      <c r="BI91" s="185"/>
      <c r="BJ91" s="182">
        <f t="shared" si="162"/>
        <v>0</v>
      </c>
      <c r="BK91" s="164" t="str">
        <f t="shared" si="142"/>
        <v>Unclassified</v>
      </c>
      <c r="BL91" s="185"/>
      <c r="BO91" s="977"/>
      <c r="BP91" s="167"/>
      <c r="BQ91" s="167" t="str">
        <f t="shared" si="157"/>
        <v/>
      </c>
      <c r="BR91" s="167">
        <f t="shared" si="55"/>
        <v>9</v>
      </c>
      <c r="BS91" s="167">
        <f t="shared" si="56"/>
        <v>9</v>
      </c>
      <c r="BT91" s="167">
        <f t="shared" si="57"/>
        <v>9</v>
      </c>
      <c r="BW91" s="167"/>
      <c r="BX91" s="167"/>
      <c r="BY91" s="167"/>
      <c r="BZ91" s="167"/>
      <c r="CA91" s="99"/>
      <c r="CB91" s="167"/>
    </row>
    <row r="92" spans="1:85" x14ac:dyDescent="0.25">
      <c r="A92" s="96">
        <v>84</v>
      </c>
      <c r="B92" s="96" t="str">
        <f t="shared" si="190"/>
        <v>Ene 07b</v>
      </c>
      <c r="C92" s="96" t="str">
        <f t="shared" si="159"/>
        <v>Ene 07</v>
      </c>
      <c r="D92" s="163" t="s">
        <v>696</v>
      </c>
      <c r="E92" s="1123" t="s">
        <v>635</v>
      </c>
      <c r="F92" s="775">
        <v>4</v>
      </c>
      <c r="G92" s="1022">
        <v>0</v>
      </c>
      <c r="H92" s="1022">
        <v>0</v>
      </c>
      <c r="I92" s="775">
        <v>4</v>
      </c>
      <c r="J92" s="775">
        <v>4</v>
      </c>
      <c r="K92" s="1022">
        <v>0</v>
      </c>
      <c r="L92" s="1022">
        <v>0</v>
      </c>
      <c r="M92" s="1022">
        <v>0</v>
      </c>
      <c r="N92" s="1022">
        <v>0</v>
      </c>
      <c r="O92" s="1022">
        <v>0</v>
      </c>
      <c r="P92" s="1022">
        <v>0</v>
      </c>
      <c r="Q92" s="775">
        <v>4</v>
      </c>
      <c r="R92" s="775">
        <v>4</v>
      </c>
      <c r="T92" s="221">
        <f t="shared" si="166"/>
        <v>4</v>
      </c>
      <c r="U92" s="230">
        <f>IF(AD_Labsize=AD_Labsize03,Poeng!T92,IF(AD_Labsize=AD_labsize04,4,IF(AD_Labsize=AD_Labsize01,2,0)))</f>
        <v>0</v>
      </c>
      <c r="V92" s="167">
        <f>IF(AND(ADBT0=ADBT8,OR('Assessment Details'!F6='Assessment Details'!U6,'Assessment Details'!F6='Assessment Details'!U7,'Assessment Details'!F6='Assessment Details'!U8,'Assessment Details'!F6='Assessment Details'!U9)),T92,0)</f>
        <v>0</v>
      </c>
      <c r="W92" s="167"/>
      <c r="X92" s="167"/>
      <c r="Y92" s="169">
        <f>IF(OR($Y$4=$Y$6,Y4=Y5),T92,0)</f>
        <v>0</v>
      </c>
      <c r="Z92" s="168">
        <f>VLOOKUP(B92,'Manuell filtrering og justering'!$A$7:$H$107,'Manuell filtrering og justering'!$H$1,FALSE)</f>
        <v>0</v>
      </c>
      <c r="AA92" s="169">
        <f t="shared" si="168"/>
        <v>0</v>
      </c>
      <c r="AB92" s="170">
        <f>IF($AC$5='Manuell filtrering og justering'!$J$2,Z92,(T92-AA92))</f>
        <v>4</v>
      </c>
      <c r="AD92" s="171">
        <f t="shared" si="136"/>
        <v>2.0740740740740744E-2</v>
      </c>
      <c r="AE92" s="171">
        <f t="shared" si="144"/>
        <v>0</v>
      </c>
      <c r="AF92" s="171">
        <f t="shared" si="145"/>
        <v>0</v>
      </c>
      <c r="AG92" s="171">
        <f t="shared" si="146"/>
        <v>0</v>
      </c>
      <c r="AI92" s="172">
        <f>IF(VLOOKUP(E92,'Pre-Assessment Estimator'!$E$11:$Z$226,'Pre-Assessment Estimator'!$G$2,FALSE)&gt;AB92,AB92,VLOOKUP(E92,'Pre-Assessment Estimator'!$E$11:$Z$226,'Pre-Assessment Estimator'!$G$2,FALSE))</f>
        <v>0</v>
      </c>
      <c r="AJ92" s="172">
        <f>IF(VLOOKUP(E92,'Pre-Assessment Estimator'!$E$11:$Z$226,'Pre-Assessment Estimator'!$N$2,FALSE)&gt;AB92,AB92,VLOOKUP(E92,'Pre-Assessment Estimator'!$E$11:$Z$226,'Pre-Assessment Estimator'!$N$2,FALSE))</f>
        <v>0</v>
      </c>
      <c r="AK92" s="172">
        <f>IF(VLOOKUP(E92,'Pre-Assessment Estimator'!$E$11:$Z$226,'Pre-Assessment Estimator'!$U$2,FALSE)&gt;AB92,AB92,VLOOKUP(E92,'Pre-Assessment Estimator'!$E$11:$Z$226,'Pre-Assessment Estimator'!$U$2,FALSE))</f>
        <v>0</v>
      </c>
      <c r="AM92" s="292"/>
      <c r="AN92" s="293"/>
      <c r="AO92" s="293"/>
      <c r="AP92" s="293"/>
      <c r="AQ92" s="294"/>
      <c r="AS92" s="292"/>
      <c r="AT92" s="293"/>
      <c r="AU92" s="293"/>
      <c r="AV92" s="293"/>
      <c r="AW92" s="294"/>
      <c r="AY92" s="188"/>
      <c r="AZ92" s="189"/>
      <c r="BA92" s="189"/>
      <c r="BB92" s="189"/>
      <c r="BC92" s="190"/>
      <c r="BD92" s="182">
        <f t="shared" si="160"/>
        <v>9</v>
      </c>
      <c r="BE92" s="164" t="str">
        <f t="shared" si="139"/>
        <v>N/A</v>
      </c>
      <c r="BF92" s="185"/>
      <c r="BG92" s="182">
        <f t="shared" si="161"/>
        <v>9</v>
      </c>
      <c r="BH92" s="164" t="str">
        <f t="shared" si="141"/>
        <v>N/A</v>
      </c>
      <c r="BI92" s="185"/>
      <c r="BJ92" s="182">
        <f t="shared" si="162"/>
        <v>9</v>
      </c>
      <c r="BK92" s="164" t="str">
        <f t="shared" si="142"/>
        <v>N/A</v>
      </c>
      <c r="BL92" s="185"/>
      <c r="BO92" s="977"/>
      <c r="BP92" s="167"/>
      <c r="BQ92" s="167" t="str">
        <f t="shared" si="157"/>
        <v/>
      </c>
      <c r="BR92" s="167">
        <f t="shared" si="55"/>
        <v>9</v>
      </c>
      <c r="BS92" s="167">
        <f t="shared" si="56"/>
        <v>9</v>
      </c>
      <c r="BT92" s="167">
        <f t="shared" si="57"/>
        <v>9</v>
      </c>
      <c r="BW92" s="167"/>
      <c r="BX92" s="167"/>
      <c r="BY92" s="167"/>
      <c r="BZ92" s="167"/>
      <c r="CA92" s="99"/>
      <c r="CB92" s="167"/>
    </row>
    <row r="93" spans="1:85" x14ac:dyDescent="0.25">
      <c r="A93" s="96">
        <v>85</v>
      </c>
      <c r="B93" s="137" t="str">
        <f>D93</f>
        <v>Ene 08</v>
      </c>
      <c r="C93" s="137" t="str">
        <f>B93</f>
        <v>Ene 08</v>
      </c>
      <c r="D93" s="834" t="s">
        <v>142</v>
      </c>
      <c r="E93" s="832" t="s">
        <v>133</v>
      </c>
      <c r="F93" s="933">
        <f>SUM(F94)</f>
        <v>2</v>
      </c>
      <c r="G93" s="933">
        <f t="shared" ref="G93:R93" si="191">SUM(G94)</f>
        <v>2</v>
      </c>
      <c r="H93" s="933">
        <f t="shared" si="191"/>
        <v>2</v>
      </c>
      <c r="I93" s="933">
        <f t="shared" si="191"/>
        <v>2</v>
      </c>
      <c r="J93" s="933">
        <f t="shared" si="191"/>
        <v>2</v>
      </c>
      <c r="K93" s="933">
        <f t="shared" si="191"/>
        <v>2</v>
      </c>
      <c r="L93" s="933">
        <f t="shared" si="191"/>
        <v>2</v>
      </c>
      <c r="M93" s="933">
        <f t="shared" si="191"/>
        <v>2</v>
      </c>
      <c r="N93" s="933">
        <f t="shared" si="191"/>
        <v>2</v>
      </c>
      <c r="O93" s="933">
        <f t="shared" si="191"/>
        <v>2</v>
      </c>
      <c r="P93" s="933">
        <f t="shared" si="191"/>
        <v>2</v>
      </c>
      <c r="Q93" s="933">
        <f t="shared" si="191"/>
        <v>2</v>
      </c>
      <c r="R93" s="933">
        <f t="shared" si="191"/>
        <v>2</v>
      </c>
      <c r="T93" s="963">
        <f t="shared" si="166"/>
        <v>2</v>
      </c>
      <c r="U93" s="222">
        <f>U94</f>
        <v>0</v>
      </c>
      <c r="V93" s="230"/>
      <c r="W93" s="230"/>
      <c r="X93" s="230">
        <f>'Manuell filtrering og justering'!E36</f>
        <v>0</v>
      </c>
      <c r="Y93" s="230"/>
      <c r="Z93" s="958">
        <f t="shared" ref="Z93" si="192">SUM(Z94)</f>
        <v>0</v>
      </c>
      <c r="AA93" s="963">
        <f t="shared" si="168"/>
        <v>0</v>
      </c>
      <c r="AB93" s="1066">
        <f>SUM(AB94)</f>
        <v>2</v>
      </c>
      <c r="AD93" s="171">
        <f t="shared" si="136"/>
        <v>1.0370370370370372E-2</v>
      </c>
      <c r="AE93" s="921">
        <f>SUM(AE94)</f>
        <v>0</v>
      </c>
      <c r="AF93" s="921">
        <f t="shared" ref="AF93:AG93" si="193">SUM(AF94)</f>
        <v>0</v>
      </c>
      <c r="AG93" s="921">
        <f t="shared" si="193"/>
        <v>0</v>
      </c>
      <c r="AI93" s="958">
        <f t="shared" ref="AI93" si="194">SUM(AI94)</f>
        <v>0</v>
      </c>
      <c r="AJ93" s="958">
        <f t="shared" ref="AJ93" si="195">SUM(AJ94)</f>
        <v>0</v>
      </c>
      <c r="AK93" s="958">
        <f t="shared" ref="AK93" si="196">SUM(AK94)</f>
        <v>0</v>
      </c>
      <c r="AL93" s="96" t="s">
        <v>426</v>
      </c>
      <c r="AM93" s="292"/>
      <c r="AN93" s="293"/>
      <c r="AO93" s="293"/>
      <c r="AP93" s="293"/>
      <c r="AQ93" s="294"/>
      <c r="AS93" s="292"/>
      <c r="AT93" s="293"/>
      <c r="AU93" s="293"/>
      <c r="AV93" s="293"/>
      <c r="AW93" s="294"/>
      <c r="AY93" s="188"/>
      <c r="AZ93" s="189"/>
      <c r="BA93" s="189"/>
      <c r="BB93" s="189"/>
      <c r="BC93" s="190"/>
      <c r="BD93" s="182">
        <f t="shared" si="160"/>
        <v>9</v>
      </c>
      <c r="BE93" s="164" t="str">
        <f t="shared" si="139"/>
        <v>N/A</v>
      </c>
      <c r="BF93" s="185"/>
      <c r="BG93" s="182">
        <f t="shared" si="161"/>
        <v>9</v>
      </c>
      <c r="BH93" s="164" t="str">
        <f t="shared" si="141"/>
        <v>N/A</v>
      </c>
      <c r="BI93" s="185"/>
      <c r="BJ93" s="182">
        <f t="shared" si="162"/>
        <v>9</v>
      </c>
      <c r="BK93" s="164" t="str">
        <f t="shared" si="142"/>
        <v>N/A</v>
      </c>
      <c r="BL93" s="185"/>
      <c r="BO93" s="167"/>
      <c r="BP93" s="167"/>
      <c r="BQ93" s="167" t="str">
        <f t="shared" si="157"/>
        <v/>
      </c>
      <c r="BR93" s="167">
        <f t="shared" si="55"/>
        <v>9</v>
      </c>
      <c r="BS93" s="167">
        <f t="shared" si="56"/>
        <v>9</v>
      </c>
      <c r="BT93" s="167">
        <f t="shared" si="57"/>
        <v>9</v>
      </c>
      <c r="BW93" s="167" t="str">
        <f>D93</f>
        <v>Ene 08</v>
      </c>
      <c r="BX93" s="167" t="str">
        <f>IFERROR(VLOOKUP($E93,'Pre-Assessment Estimator'!$E$11:$AB$226,'Pre-Assessment Estimator'!AB$2,FALSE),"")</f>
        <v>No</v>
      </c>
      <c r="BY93" s="230" t="str">
        <f>IFERROR(VLOOKUP($E93,'Pre-Assessment Estimator'!$E$11:$AI$226,'Pre-Assessment Estimator'!AI$2,FALSE),"")</f>
        <v>Ja</v>
      </c>
      <c r="BZ93" s="167">
        <f>IFERROR(VLOOKUP($BX93,$E$293:$H$326,F$291,FALSE),"")</f>
        <v>1</v>
      </c>
      <c r="CA93" s="680" t="s">
        <v>431</v>
      </c>
      <c r="CB93" s="167"/>
      <c r="CC93" s="96" t="str">
        <f>IFERROR(VLOOKUP($BX93,$E$293:$H$326,I$291,FALSE),"")</f>
        <v/>
      </c>
      <c r="CD93" s="96" t="s">
        <v>437</v>
      </c>
      <c r="CE93" s="167">
        <f t="shared" ref="CE93:CE95" si="197">VLOOKUP(CA93,$CA$4:$CB$5,2,FALSE)</f>
        <v>1</v>
      </c>
      <c r="CG93" s="681">
        <f>IF($BX$5=ais_nei,CE93,IF(AND(CA93=$CA$4,BX93=$CC$4),0,BZ93))</f>
        <v>1</v>
      </c>
    </row>
    <row r="94" spans="1:85" x14ac:dyDescent="0.25">
      <c r="A94" s="96">
        <v>86</v>
      </c>
      <c r="B94" s="96" t="str">
        <f>$D$93&amp;D94</f>
        <v>Ene 08a</v>
      </c>
      <c r="C94" s="96" t="str">
        <f t="shared" si="159"/>
        <v>Ene 08</v>
      </c>
      <c r="D94" s="166" t="s">
        <v>693</v>
      </c>
      <c r="E94" s="1123" t="s">
        <v>636</v>
      </c>
      <c r="F94" s="775">
        <v>2</v>
      </c>
      <c r="G94" s="775">
        <v>2</v>
      </c>
      <c r="H94" s="775">
        <v>2</v>
      </c>
      <c r="I94" s="775">
        <v>2</v>
      </c>
      <c r="J94" s="775">
        <v>2</v>
      </c>
      <c r="K94" s="775">
        <v>2</v>
      </c>
      <c r="L94" s="775">
        <v>2</v>
      </c>
      <c r="M94" s="775">
        <v>2</v>
      </c>
      <c r="N94" s="775">
        <v>2</v>
      </c>
      <c r="O94" s="775">
        <v>2</v>
      </c>
      <c r="P94" s="775">
        <v>2</v>
      </c>
      <c r="Q94" s="775">
        <v>2</v>
      </c>
      <c r="R94" s="775">
        <v>2</v>
      </c>
      <c r="T94" s="221">
        <f t="shared" si="166"/>
        <v>2</v>
      </c>
      <c r="U94" s="222">
        <f>IF(AD_Energyload=AD_no,Poeng!T94,0)</f>
        <v>0</v>
      </c>
      <c r="V94" s="167"/>
      <c r="W94" s="167"/>
      <c r="X94" s="167"/>
      <c r="Y94" s="169">
        <f>IF(OR($Y$4=$Y$6,Y4=Y5),T94,0)</f>
        <v>0</v>
      </c>
      <c r="Z94" s="168">
        <f>VLOOKUP(B94,'Manuell filtrering og justering'!$A$7:$H$107,'Manuell filtrering og justering'!$H$1,FALSE)</f>
        <v>0</v>
      </c>
      <c r="AA94" s="169">
        <f t="shared" si="168"/>
        <v>0</v>
      </c>
      <c r="AB94" s="170">
        <f>IF($AC$5='Manuell filtrering og justering'!$J$2,Z94,(T94-AA94))</f>
        <v>2</v>
      </c>
      <c r="AD94" s="171">
        <f t="shared" si="136"/>
        <v>1.0370370370370372E-2</v>
      </c>
      <c r="AE94" s="171">
        <f t="shared" si="144"/>
        <v>0</v>
      </c>
      <c r="AF94" s="171">
        <f t="shared" si="145"/>
        <v>0</v>
      </c>
      <c r="AG94" s="171">
        <f t="shared" si="146"/>
        <v>0</v>
      </c>
      <c r="AI94" s="172">
        <f>IF(VLOOKUP(E94,'Pre-Assessment Estimator'!$E$11:$Z$226,'Pre-Assessment Estimator'!$G$2,FALSE)&gt;AB94,AB94,VLOOKUP(E94,'Pre-Assessment Estimator'!$E$11:$Z$226,'Pre-Assessment Estimator'!$G$2,FALSE))</f>
        <v>0</v>
      </c>
      <c r="AJ94" s="172">
        <f>IF(VLOOKUP(E94,'Pre-Assessment Estimator'!$E$11:$Z$226,'Pre-Assessment Estimator'!$N$2,FALSE)&gt;AB94,AB94,VLOOKUP(E94,'Pre-Assessment Estimator'!$E$11:$Z$226,'Pre-Assessment Estimator'!$N$2,FALSE))</f>
        <v>0</v>
      </c>
      <c r="AK94" s="172">
        <f>IF(VLOOKUP(E94,'Pre-Assessment Estimator'!$E$11:$Z$226,'Pre-Assessment Estimator'!$U$2,FALSE)&gt;AB94,AB94,VLOOKUP(E94,'Pre-Assessment Estimator'!$E$11:$Z$226,'Pre-Assessment Estimator'!$U$2,FALSE))</f>
        <v>0</v>
      </c>
      <c r="AM94" s="292"/>
      <c r="AN94" s="293"/>
      <c r="AO94" s="293"/>
      <c r="AP94" s="293"/>
      <c r="AQ94" s="294"/>
      <c r="AS94" s="292"/>
      <c r="AT94" s="293"/>
      <c r="AU94" s="293"/>
      <c r="AV94" s="293"/>
      <c r="AW94" s="294"/>
      <c r="AY94" s="188"/>
      <c r="AZ94" s="189"/>
      <c r="BA94" s="189"/>
      <c r="BB94" s="189"/>
      <c r="BC94" s="190"/>
      <c r="BD94" s="182">
        <f t="shared" si="160"/>
        <v>9</v>
      </c>
      <c r="BE94" s="164" t="str">
        <f t="shared" si="139"/>
        <v>N/A</v>
      </c>
      <c r="BF94" s="185"/>
      <c r="BG94" s="182">
        <f t="shared" si="161"/>
        <v>9</v>
      </c>
      <c r="BH94" s="164" t="str">
        <f t="shared" si="141"/>
        <v>N/A</v>
      </c>
      <c r="BI94" s="185"/>
      <c r="BJ94" s="182">
        <f t="shared" si="162"/>
        <v>9</v>
      </c>
      <c r="BK94" s="164" t="str">
        <f t="shared" si="142"/>
        <v>N/A</v>
      </c>
      <c r="BL94" s="185"/>
      <c r="BO94" s="167"/>
      <c r="BP94" s="167"/>
      <c r="BQ94" s="167" t="str">
        <f t="shared" si="157"/>
        <v/>
      </c>
      <c r="BR94" s="167">
        <f t="shared" si="55"/>
        <v>9</v>
      </c>
      <c r="BS94" s="167">
        <f t="shared" si="56"/>
        <v>9</v>
      </c>
      <c r="BT94" s="167">
        <f t="shared" si="57"/>
        <v>9</v>
      </c>
      <c r="BW94" s="167"/>
      <c r="BX94" s="167"/>
      <c r="BY94" s="230"/>
      <c r="BZ94" s="167"/>
      <c r="CA94" s="680"/>
      <c r="CB94" s="167"/>
      <c r="CE94" s="167"/>
      <c r="CG94" s="681"/>
    </row>
    <row r="95" spans="1:85" x14ac:dyDescent="0.25">
      <c r="A95" s="96">
        <v>87</v>
      </c>
      <c r="D95" s="701" t="s">
        <v>143</v>
      </c>
      <c r="E95" s="700"/>
      <c r="F95" s="934"/>
      <c r="G95" s="934"/>
      <c r="H95" s="934"/>
      <c r="I95" s="934"/>
      <c r="J95" s="934"/>
      <c r="K95" s="934"/>
      <c r="L95" s="934"/>
      <c r="M95" s="934"/>
      <c r="N95" s="934"/>
      <c r="O95" s="934"/>
      <c r="P95" s="934"/>
      <c r="Q95" s="934"/>
      <c r="R95" s="934"/>
      <c r="T95" s="956"/>
      <c r="U95" s="701"/>
      <c r="V95" s="700"/>
      <c r="W95" s="700"/>
      <c r="X95" s="700"/>
      <c r="Y95" s="955"/>
      <c r="Z95" s="955"/>
      <c r="AA95" s="956"/>
      <c r="AB95" s="957"/>
      <c r="AD95" s="171">
        <f t="shared" si="136"/>
        <v>0</v>
      </c>
      <c r="AE95" s="960">
        <f t="shared" si="144"/>
        <v>0</v>
      </c>
      <c r="AF95" s="960">
        <f t="shared" si="145"/>
        <v>0</v>
      </c>
      <c r="AG95" s="960">
        <f t="shared" si="146"/>
        <v>0</v>
      </c>
      <c r="AI95" s="720"/>
      <c r="AJ95" s="720"/>
      <c r="AK95" s="720"/>
      <c r="AL95" s="96" t="s">
        <v>426</v>
      </c>
      <c r="AM95" s="292"/>
      <c r="AN95" s="293"/>
      <c r="AO95" s="293"/>
      <c r="AP95" s="293"/>
      <c r="AQ95" s="294"/>
      <c r="AR95" s="139"/>
      <c r="AS95" s="292"/>
      <c r="AT95" s="293"/>
      <c r="AU95" s="293"/>
      <c r="AV95" s="293"/>
      <c r="AW95" s="294"/>
      <c r="AY95" s="188"/>
      <c r="AZ95" s="189"/>
      <c r="BA95" s="189"/>
      <c r="BB95" s="189"/>
      <c r="BC95" s="190"/>
      <c r="BD95" s="182">
        <f t="shared" si="160"/>
        <v>9</v>
      </c>
      <c r="BE95" s="164" t="str">
        <f t="shared" si="139"/>
        <v>N/A</v>
      </c>
      <c r="BF95" s="185"/>
      <c r="BG95" s="182">
        <f t="shared" si="161"/>
        <v>9</v>
      </c>
      <c r="BH95" s="164" t="str">
        <f t="shared" si="141"/>
        <v>N/A</v>
      </c>
      <c r="BI95" s="185"/>
      <c r="BJ95" s="182">
        <f t="shared" si="162"/>
        <v>9</v>
      </c>
      <c r="BK95" s="164" t="str">
        <f t="shared" si="142"/>
        <v>N/A</v>
      </c>
      <c r="BL95" s="185"/>
      <c r="BO95" s="167"/>
      <c r="BP95" s="167"/>
      <c r="BQ95" s="167" t="str">
        <f t="shared" si="157"/>
        <v/>
      </c>
      <c r="BR95" s="167">
        <f t="shared" ref="BR95:BR158" si="198">IF(BQ95="",9,(IF(AI95&gt;=BQ95,5,0)))</f>
        <v>9</v>
      </c>
      <c r="BS95" s="167">
        <f t="shared" ref="BS95:BS158" si="199">IF(BQ95="",9,(IF(AJ95&gt;=BQ95,5,0)))</f>
        <v>9</v>
      </c>
      <c r="BT95" s="167">
        <f t="shared" ref="BT95:BT158" si="200">IF(BQ95="",9,(IF(AK95&gt;=BQ95,5,0)))</f>
        <v>9</v>
      </c>
      <c r="BW95" s="167" t="str">
        <f>D95</f>
        <v>Ene 09</v>
      </c>
      <c r="BX95" s="167" t="str">
        <f>IFERROR(VLOOKUP($E95,'Pre-Assessment Estimator'!$E$11:$AB$226,'Pre-Assessment Estimator'!AB$2,FALSE),"")</f>
        <v/>
      </c>
      <c r="BY95" s="230" t="str">
        <f>IFERROR(VLOOKUP($E95,'Pre-Assessment Estimator'!$E$11:$AI$226,'Pre-Assessment Estimator'!AI$2,FALSE),"")</f>
        <v/>
      </c>
      <c r="BZ95" s="167" t="str">
        <f t="shared" ref="BZ95:BZ100" si="201">IFERROR(VLOOKUP($BX95,$E$293:$H$326,F$291,FALSE),"")</f>
        <v/>
      </c>
      <c r="CA95" s="680" t="s">
        <v>431</v>
      </c>
      <c r="CB95" s="167"/>
      <c r="CC95" s="96" t="str">
        <f t="shared" ref="CC95:CC100" si="202">IFERROR(VLOOKUP($BX95,$E$293:$H$326,I$291,FALSE),"")</f>
        <v/>
      </c>
      <c r="CD95" s="681" t="s">
        <v>405</v>
      </c>
      <c r="CE95" s="167">
        <f t="shared" si="197"/>
        <v>1</v>
      </c>
      <c r="CG95" s="681">
        <f>IF($BX$5=ais_nei,CE95,IF(CD95=$BY$5,IF(AND(CA95=$CA$4,BX95=$CC$4),0,BZ95),CE95))</f>
        <v>1</v>
      </c>
    </row>
    <row r="96" spans="1:85" ht="15.75" thickBot="1" x14ac:dyDescent="0.3">
      <c r="A96" s="96">
        <v>88</v>
      </c>
      <c r="D96" s="701" t="s">
        <v>144</v>
      </c>
      <c r="E96" s="700"/>
      <c r="F96" s="934"/>
      <c r="G96" s="934"/>
      <c r="H96" s="934"/>
      <c r="I96" s="934"/>
      <c r="J96" s="934"/>
      <c r="K96" s="934"/>
      <c r="L96" s="934"/>
      <c r="M96" s="934"/>
      <c r="N96" s="934"/>
      <c r="O96" s="934"/>
      <c r="P96" s="934"/>
      <c r="Q96" s="934"/>
      <c r="R96" s="934"/>
      <c r="T96" s="956"/>
      <c r="U96" s="701"/>
      <c r="V96" s="700"/>
      <c r="W96" s="700"/>
      <c r="X96" s="700"/>
      <c r="Y96" s="955"/>
      <c r="Z96" s="955"/>
      <c r="AA96" s="956"/>
      <c r="AB96" s="957"/>
      <c r="AD96" s="171">
        <f t="shared" si="136"/>
        <v>0</v>
      </c>
      <c r="AE96" s="960">
        <f t="shared" si="144"/>
        <v>0</v>
      </c>
      <c r="AF96" s="960">
        <f t="shared" si="145"/>
        <v>0</v>
      </c>
      <c r="AG96" s="960">
        <f t="shared" si="146"/>
        <v>0</v>
      </c>
      <c r="AI96" s="720"/>
      <c r="AJ96" s="720"/>
      <c r="AK96" s="720"/>
      <c r="AM96" s="301"/>
      <c r="AN96" s="302"/>
      <c r="AO96" s="302"/>
      <c r="AP96" s="302"/>
      <c r="AQ96" s="303"/>
      <c r="AR96" s="139"/>
      <c r="AS96" s="301"/>
      <c r="AT96" s="302"/>
      <c r="AU96" s="302"/>
      <c r="AV96" s="302"/>
      <c r="AW96" s="303"/>
      <c r="AY96" s="198"/>
      <c r="AZ96" s="224"/>
      <c r="BA96" s="224"/>
      <c r="BB96" s="224"/>
      <c r="BC96" s="225"/>
      <c r="BD96" s="198">
        <f t="shared" si="60"/>
        <v>9</v>
      </c>
      <c r="BE96" s="164" t="str">
        <f t="shared" si="139"/>
        <v>N/A</v>
      </c>
      <c r="BF96" s="200"/>
      <c r="BG96" s="198">
        <f t="shared" si="140"/>
        <v>9</v>
      </c>
      <c r="BH96" s="164" t="str">
        <f t="shared" si="141"/>
        <v>N/A</v>
      </c>
      <c r="BI96" s="200"/>
      <c r="BJ96" s="198">
        <f t="shared" si="28"/>
        <v>9</v>
      </c>
      <c r="BK96" s="164" t="str">
        <f t="shared" si="142"/>
        <v>N/A</v>
      </c>
      <c r="BL96" s="200"/>
      <c r="BO96" s="167"/>
      <c r="BP96" s="167"/>
      <c r="BQ96" s="167" t="str">
        <f t="shared" si="157"/>
        <v/>
      </c>
      <c r="BR96" s="167">
        <f t="shared" si="198"/>
        <v>9</v>
      </c>
      <c r="BS96" s="167">
        <f t="shared" si="199"/>
        <v>9</v>
      </c>
      <c r="BT96" s="167">
        <f t="shared" si="200"/>
        <v>9</v>
      </c>
      <c r="BW96" s="167" t="str">
        <f>D96</f>
        <v>Ene 23</v>
      </c>
      <c r="BX96" s="167" t="str">
        <f>IFERROR(VLOOKUP($E96,'Pre-Assessment Estimator'!$E$11:$AB$226,'Pre-Assessment Estimator'!AB$2,FALSE),"")</f>
        <v/>
      </c>
      <c r="BY96" s="167" t="str">
        <f>IFERROR(VLOOKUP($E96,'Pre-Assessment Estimator'!$E$11:$AI$226,'Pre-Assessment Estimator'!AI$2,FALSE),"")</f>
        <v/>
      </c>
      <c r="BZ96" s="167" t="str">
        <f t="shared" si="201"/>
        <v/>
      </c>
      <c r="CA96" s="167" t="str">
        <f>IFERROR(VLOOKUP($BX96,$E$293:$H$326,G$291,FALSE),"")</f>
        <v/>
      </c>
      <c r="CB96" s="167"/>
      <c r="CC96" s="96" t="str">
        <f t="shared" si="202"/>
        <v/>
      </c>
    </row>
    <row r="97" spans="1:81" ht="15.75" thickBot="1" x14ac:dyDescent="0.3">
      <c r="A97" s="96">
        <v>89</v>
      </c>
      <c r="B97" s="96" t="s">
        <v>884</v>
      </c>
      <c r="D97" s="201"/>
      <c r="E97" s="202" t="s">
        <v>214</v>
      </c>
      <c r="F97" s="773">
        <f>F69+F75+F79+F83+F86+F90+F93</f>
        <v>27</v>
      </c>
      <c r="G97" s="773">
        <f t="shared" ref="G97:R97" si="203">G69+G75+G79+G83+G86+G90+G93</f>
        <v>22</v>
      </c>
      <c r="H97" s="773">
        <f t="shared" si="203"/>
        <v>20</v>
      </c>
      <c r="I97" s="773">
        <f t="shared" si="203"/>
        <v>27</v>
      </c>
      <c r="J97" s="773">
        <f t="shared" si="203"/>
        <v>27</v>
      </c>
      <c r="K97" s="773">
        <f t="shared" si="203"/>
        <v>22</v>
      </c>
      <c r="L97" s="773">
        <f t="shared" si="203"/>
        <v>22</v>
      </c>
      <c r="M97" s="773">
        <f t="shared" si="203"/>
        <v>22</v>
      </c>
      <c r="N97" s="773">
        <f t="shared" si="203"/>
        <v>22</v>
      </c>
      <c r="O97" s="773">
        <f t="shared" si="203"/>
        <v>22</v>
      </c>
      <c r="P97" s="773">
        <f t="shared" si="203"/>
        <v>22</v>
      </c>
      <c r="Q97" s="773">
        <f t="shared" ref="Q97" si="204">Q69+Q75+Q79+Q83+Q86+Q90+Q93</f>
        <v>27</v>
      </c>
      <c r="R97" s="773">
        <f t="shared" si="203"/>
        <v>27</v>
      </c>
      <c r="T97" s="226">
        <f>HLOOKUP($E$6,$F$9:$R$231,$A97,FALSE)</f>
        <v>27</v>
      </c>
      <c r="U97" s="204"/>
      <c r="V97" s="205"/>
      <c r="W97" s="205"/>
      <c r="X97" s="205"/>
      <c r="Y97" s="206"/>
      <c r="Z97" s="206"/>
      <c r="AA97" s="773">
        <f t="shared" ref="AA97:AG97" si="205">AA69+AA75+AA79+AA83+AA86+AA90+AA93</f>
        <v>0</v>
      </c>
      <c r="AB97" s="773">
        <f t="shared" si="205"/>
        <v>27</v>
      </c>
      <c r="AD97" s="208">
        <f t="shared" si="205"/>
        <v>0.14000000000000001</v>
      </c>
      <c r="AE97" s="208">
        <f t="shared" si="205"/>
        <v>0</v>
      </c>
      <c r="AF97" s="208">
        <f t="shared" si="205"/>
        <v>0</v>
      </c>
      <c r="AG97" s="208">
        <f t="shared" si="205"/>
        <v>0</v>
      </c>
      <c r="AI97" s="78">
        <f t="shared" ref="AI97:AK97" si="206">AI69+AI75+AI79+AI83+AI86+AI90+AI93</f>
        <v>0</v>
      </c>
      <c r="AJ97" s="78">
        <f t="shared" si="206"/>
        <v>0</v>
      </c>
      <c r="AK97" s="78">
        <f t="shared" si="206"/>
        <v>0</v>
      </c>
      <c r="AM97" s="139"/>
      <c r="AN97" s="139"/>
      <c r="AO97" s="139"/>
      <c r="AP97" s="139"/>
      <c r="AQ97" s="139"/>
      <c r="AR97" s="139"/>
      <c r="AS97" s="139"/>
      <c r="AT97" s="139"/>
      <c r="AU97" s="139"/>
      <c r="AV97" s="139"/>
      <c r="AW97" s="139"/>
      <c r="AY97" s="97"/>
      <c r="AZ97" s="209"/>
      <c r="BA97" s="97"/>
      <c r="BB97" s="97"/>
      <c r="BC97" s="97"/>
      <c r="BW97" s="202"/>
      <c r="BX97" s="202" t="str">
        <f>IFERROR(VLOOKUP($E97,'Pre-Assessment Estimator'!$E$11:$AB$226,'Pre-Assessment Estimator'!AB$2,FALSE),"")</f>
        <v/>
      </c>
      <c r="BY97" s="202" t="str">
        <f>IFERROR(VLOOKUP($E97,'Pre-Assessment Estimator'!$E$11:$AI$226,'Pre-Assessment Estimator'!AI$2,FALSE),"")</f>
        <v/>
      </c>
      <c r="BZ97" s="202" t="str">
        <f t="shared" si="201"/>
        <v/>
      </c>
      <c r="CA97" s="202" t="str">
        <f>IFERROR(VLOOKUP($BX97,$E$293:$H$326,G$291,FALSE),"")</f>
        <v/>
      </c>
      <c r="CB97" s="202"/>
      <c r="CC97" s="96" t="str">
        <f t="shared" si="202"/>
        <v/>
      </c>
    </row>
    <row r="98" spans="1:81" ht="15.75" thickBot="1" x14ac:dyDescent="0.3">
      <c r="A98" s="96">
        <v>90</v>
      </c>
      <c r="AI98" s="3"/>
      <c r="AJ98" s="3"/>
      <c r="AK98" s="3"/>
      <c r="AM98" s="139"/>
      <c r="AN98" s="139"/>
      <c r="AO98" s="139"/>
      <c r="AP98" s="139"/>
      <c r="AQ98" s="139"/>
      <c r="AR98" s="139"/>
      <c r="AS98" s="139"/>
      <c r="AT98" s="139"/>
      <c r="AU98" s="139"/>
      <c r="AV98" s="139"/>
      <c r="AW98" s="139"/>
      <c r="AY98" s="97"/>
      <c r="AZ98" s="97"/>
      <c r="BA98" s="97"/>
      <c r="BB98" s="97"/>
      <c r="BC98" s="97"/>
      <c r="BX98" s="96" t="str">
        <f>IFERROR(VLOOKUP($E98,'Pre-Assessment Estimator'!$E$11:$AB$226,'Pre-Assessment Estimator'!AB$2,FALSE),"")</f>
        <v/>
      </c>
      <c r="BY98" s="96" t="str">
        <f>IFERROR(VLOOKUP($E98,'Pre-Assessment Estimator'!$E$11:$AI$226,'Pre-Assessment Estimator'!AI$2,FALSE),"")</f>
        <v/>
      </c>
      <c r="BZ98" s="96" t="str">
        <f t="shared" si="201"/>
        <v/>
      </c>
      <c r="CA98" s="96" t="str">
        <f>IFERROR(VLOOKUP($BX98,$E$293:$H$326,G$291,FALSE),"")</f>
        <v/>
      </c>
      <c r="CC98" s="96" t="str">
        <f t="shared" si="202"/>
        <v/>
      </c>
    </row>
    <row r="99" spans="1:81" ht="60.75" thickBot="1" x14ac:dyDescent="0.3">
      <c r="A99" s="96">
        <v>91</v>
      </c>
      <c r="D99" s="145"/>
      <c r="E99" s="146" t="s">
        <v>67</v>
      </c>
      <c r="F99" s="1241" t="str">
        <f>$F$9</f>
        <v>Office</v>
      </c>
      <c r="G99" s="1241" t="str">
        <f>$G$9</f>
        <v>Retail</v>
      </c>
      <c r="H99" s="1245" t="str">
        <f>$H$9</f>
        <v>Residential</v>
      </c>
      <c r="I99" s="1241" t="str">
        <f>$I$9</f>
        <v>Industrial</v>
      </c>
      <c r="J99" s="1243" t="str">
        <f>$J$9</f>
        <v>Healthcare</v>
      </c>
      <c r="K99" s="1243" t="str">
        <f>$K$9</f>
        <v>Prison</v>
      </c>
      <c r="L99" s="1243" t="str">
        <f>$L$9</f>
        <v>Law Court</v>
      </c>
      <c r="M99" s="1247" t="str">
        <f>$M$9</f>
        <v>Residential institution (long term stay)</v>
      </c>
      <c r="N99" s="918" t="str">
        <f>$N$9</f>
        <v>Residential institution (short term stay)</v>
      </c>
      <c r="O99" s="918" t="str">
        <f>$O$9</f>
        <v>Non-residential institution</v>
      </c>
      <c r="P99" s="918" t="str">
        <f>$P$9</f>
        <v>Assembly and leisure</v>
      </c>
      <c r="Q99" s="1243" t="str">
        <f>$Q$9</f>
        <v>Education</v>
      </c>
      <c r="R99" s="857" t="str">
        <f>$R$9</f>
        <v>Other</v>
      </c>
      <c r="T99" s="138" t="str">
        <f>$E$6</f>
        <v>Office</v>
      </c>
      <c r="U99" s="210"/>
      <c r="V99" s="211"/>
      <c r="W99" s="211"/>
      <c r="X99" s="211"/>
      <c r="Y99" s="1165" t="s">
        <v>412</v>
      </c>
      <c r="Z99" s="347" t="s">
        <v>335</v>
      </c>
      <c r="AA99" s="150" t="s">
        <v>214</v>
      </c>
      <c r="AB99" s="59" t="s">
        <v>15</v>
      </c>
      <c r="AI99" s="42"/>
      <c r="AJ99" s="60"/>
      <c r="AK99" s="60"/>
      <c r="AM99" s="139"/>
      <c r="AN99" s="139"/>
      <c r="AO99" s="139"/>
      <c r="AP99" s="139"/>
      <c r="AQ99" s="139"/>
      <c r="AR99" s="139"/>
      <c r="AS99" s="139"/>
      <c r="AT99" s="139"/>
      <c r="AU99" s="139"/>
      <c r="AV99" s="139"/>
      <c r="AW99" s="139"/>
      <c r="AY99" s="97"/>
      <c r="AZ99" s="97"/>
      <c r="BA99" s="97"/>
      <c r="BB99" s="97"/>
      <c r="BC99" s="97"/>
      <c r="BO99" s="60"/>
      <c r="BP99" s="60"/>
      <c r="BQ99" s="60"/>
      <c r="BR99" s="60"/>
      <c r="BS99" s="60"/>
      <c r="BT99" s="60"/>
      <c r="BW99" s="146"/>
      <c r="BX99" s="146" t="str">
        <f>E99</f>
        <v>Transport</v>
      </c>
      <c r="BY99" s="146">
        <f>IFERROR(VLOOKUP($E99,'Pre-Assessment Estimator'!$E$11:$AI$226,'Pre-Assessment Estimator'!AI$2,FALSE),"")</f>
        <v>0</v>
      </c>
      <c r="BZ99" s="146" t="str">
        <f t="shared" si="201"/>
        <v/>
      </c>
      <c r="CA99" s="146" t="str">
        <f>IFERROR(VLOOKUP($BX99,$E$293:$H$326,G$291,FALSE),"")</f>
        <v/>
      </c>
      <c r="CB99" s="146"/>
      <c r="CC99" s="96" t="str">
        <f t="shared" si="202"/>
        <v/>
      </c>
    </row>
    <row r="100" spans="1:81" x14ac:dyDescent="0.25">
      <c r="A100" s="96">
        <v>92</v>
      </c>
      <c r="B100" s="137" t="str">
        <f>D100</f>
        <v>Tra 01</v>
      </c>
      <c r="C100" s="137" t="str">
        <f>B100</f>
        <v>Tra 01</v>
      </c>
      <c r="D100" s="833" t="s">
        <v>147</v>
      </c>
      <c r="E100" s="831" t="s">
        <v>461</v>
      </c>
      <c r="F100" s="933">
        <f>SUM(F101:F102)</f>
        <v>3</v>
      </c>
      <c r="G100" s="933">
        <f t="shared" ref="G100:R100" si="207">SUM(G101:G102)</f>
        <v>3</v>
      </c>
      <c r="H100" s="933">
        <f t="shared" si="207"/>
        <v>3</v>
      </c>
      <c r="I100" s="933">
        <f t="shared" si="207"/>
        <v>3</v>
      </c>
      <c r="J100" s="933">
        <f t="shared" si="207"/>
        <v>3</v>
      </c>
      <c r="K100" s="933">
        <f t="shared" si="207"/>
        <v>3</v>
      </c>
      <c r="L100" s="933">
        <f t="shared" si="207"/>
        <v>3</v>
      </c>
      <c r="M100" s="933">
        <f t="shared" si="207"/>
        <v>3</v>
      </c>
      <c r="N100" s="933">
        <f t="shared" si="207"/>
        <v>3</v>
      </c>
      <c r="O100" s="933">
        <f t="shared" si="207"/>
        <v>3</v>
      </c>
      <c r="P100" s="933">
        <f t="shared" si="207"/>
        <v>3</v>
      </c>
      <c r="Q100" s="933">
        <f t="shared" ref="Q100" si="208">SUM(Q101:Q102)</f>
        <v>3</v>
      </c>
      <c r="R100" s="933">
        <f t="shared" si="207"/>
        <v>3</v>
      </c>
      <c r="T100" s="150">
        <f t="shared" ref="T100:T105" si="209">HLOOKUP($E$6,$F$9:$R$231,$A100,FALSE)</f>
        <v>3</v>
      </c>
      <c r="U100" s="222"/>
      <c r="V100" s="230"/>
      <c r="W100" s="230"/>
      <c r="X100" s="230">
        <f>'Manuell filtrering og justering'!E43</f>
        <v>0</v>
      </c>
      <c r="Y100" s="230"/>
      <c r="Z100" s="958">
        <f t="shared" ref="Z100" si="210">SUM(Z101:Z102)</f>
        <v>3</v>
      </c>
      <c r="AA100" s="963">
        <f t="shared" ref="AA100:AA105" si="211">IF(SUM(U100:Y100)&gt;T100,T100,SUM(U100:Y100))</f>
        <v>0</v>
      </c>
      <c r="AB100" s="1066">
        <f t="shared" ref="AB100" si="212">SUM(AB101:AB102)</f>
        <v>3</v>
      </c>
      <c r="AD100" s="171">
        <f t="shared" ref="AD100:AD109" si="213">(Tra_Weight/Tra_Credits)*AB100</f>
        <v>2.3076923076923078E-2</v>
      </c>
      <c r="AE100" s="921">
        <f>SUM(AE101:AE102)</f>
        <v>0</v>
      </c>
      <c r="AF100" s="921">
        <f t="shared" ref="AF100" si="214">SUM(AF101:AF102)</f>
        <v>0</v>
      </c>
      <c r="AG100" s="921">
        <f t="shared" ref="AG100" si="215">SUM(AG101:AG102)</f>
        <v>0</v>
      </c>
      <c r="AI100" s="958">
        <f t="shared" ref="AI100" si="216">SUM(AI101:AI102)</f>
        <v>0</v>
      </c>
      <c r="AJ100" s="958">
        <f t="shared" ref="AJ100" si="217">SUM(AJ101:AJ102)</f>
        <v>0</v>
      </c>
      <c r="AK100" s="958">
        <f t="shared" ref="AK100" si="218">SUM(AK101:AK102)</f>
        <v>0</v>
      </c>
      <c r="AM100" s="298"/>
      <c r="AN100" s="299"/>
      <c r="AO100" s="299"/>
      <c r="AP100" s="299"/>
      <c r="AQ100" s="300"/>
      <c r="AR100" s="139"/>
      <c r="AS100" s="298"/>
      <c r="AT100" s="299"/>
      <c r="AU100" s="299"/>
      <c r="AV100" s="299"/>
      <c r="AW100" s="300"/>
      <c r="AY100" s="218"/>
      <c r="AZ100" s="219"/>
      <c r="BA100" s="219"/>
      <c r="BB100" s="219"/>
      <c r="BC100" s="220"/>
      <c r="BD100" s="174">
        <f t="shared" si="60"/>
        <v>9</v>
      </c>
      <c r="BE100" s="164" t="str">
        <f t="shared" ref="BE100:BE109" si="219">VLOOKUP(BD100,$BO$284:$BT$290,6,FALSE)</f>
        <v>N/A</v>
      </c>
      <c r="BF100" s="178"/>
      <c r="BG100" s="174">
        <f t="shared" ref="BG100:BG109" si="220">IF(BC100=0,9,IF(AJ100&gt;=BC100,5,IF(AJ100&gt;=BB100,4,IF(AJ100&gt;=BA100,3,IF(AJ100&gt;=AZ100,2,IF(AJ100&lt;AY100,0,1))))))</f>
        <v>9</v>
      </c>
      <c r="BH100" s="164" t="str">
        <f t="shared" ref="BH100:BH109" si="221">VLOOKUP(BG100,$BO$284:$BT$290,6,FALSE)</f>
        <v>N/A</v>
      </c>
      <c r="BI100" s="178"/>
      <c r="BJ100" s="174">
        <f t="shared" si="28"/>
        <v>9</v>
      </c>
      <c r="BK100" s="164" t="str">
        <f t="shared" ref="BK100:BK109" si="222">VLOOKUP(BJ100,$BO$284:$BT$290,6,FALSE)</f>
        <v>N/A</v>
      </c>
      <c r="BL100" s="178"/>
      <c r="BO100" s="167"/>
      <c r="BP100" s="167"/>
      <c r="BQ100" s="167" t="str">
        <f t="shared" si="157"/>
        <v/>
      </c>
      <c r="BR100" s="167">
        <f t="shared" si="198"/>
        <v>9</v>
      </c>
      <c r="BS100" s="167">
        <f t="shared" si="199"/>
        <v>9</v>
      </c>
      <c r="BT100" s="167">
        <f t="shared" si="200"/>
        <v>9</v>
      </c>
      <c r="BW100" s="164" t="str">
        <f>D100</f>
        <v>Tra 01</v>
      </c>
      <c r="BX100" s="164" t="str">
        <f>IFERROR(VLOOKUP($E100,'Pre-Assessment Estimator'!$E$11:$AB$226,'Pre-Assessment Estimator'!AB$2,FALSE),"")</f>
        <v>N/A</v>
      </c>
      <c r="BY100" s="164">
        <f>IFERROR(VLOOKUP($E100,'Pre-Assessment Estimator'!$E$11:$AI$226,'Pre-Assessment Estimator'!AI$2,FALSE),"")</f>
        <v>0</v>
      </c>
      <c r="BZ100" s="164">
        <f t="shared" si="201"/>
        <v>1</v>
      </c>
      <c r="CA100" s="164">
        <f>IFERROR(VLOOKUP($BX100,$E$293:$H$326,G$291,FALSE),"")</f>
        <v>0</v>
      </c>
      <c r="CB100" s="164"/>
      <c r="CC100" s="96" t="str">
        <f t="shared" si="202"/>
        <v/>
      </c>
    </row>
    <row r="101" spans="1:81" x14ac:dyDescent="0.25">
      <c r="A101" s="96">
        <v>93</v>
      </c>
      <c r="B101" s="96" t="str">
        <f t="shared" ref="B101:B102" si="223">$D$100&amp;D101</f>
        <v>Tra 01a</v>
      </c>
      <c r="C101" s="96" t="str">
        <f t="shared" si="159"/>
        <v>Tra 01</v>
      </c>
      <c r="D101" s="163" t="s">
        <v>693</v>
      </c>
      <c r="E101" s="1123" t="s">
        <v>637</v>
      </c>
      <c r="F101" s="939">
        <v>2</v>
      </c>
      <c r="G101" s="939">
        <v>2</v>
      </c>
      <c r="H101" s="939">
        <v>2</v>
      </c>
      <c r="I101" s="939">
        <v>2</v>
      </c>
      <c r="J101" s="939">
        <v>2</v>
      </c>
      <c r="K101" s="939">
        <v>2</v>
      </c>
      <c r="L101" s="939">
        <v>2</v>
      </c>
      <c r="M101" s="939">
        <v>2</v>
      </c>
      <c r="N101" s="939">
        <v>2</v>
      </c>
      <c r="O101" s="939">
        <v>2</v>
      </c>
      <c r="P101" s="939">
        <v>2</v>
      </c>
      <c r="Q101" s="939">
        <v>2</v>
      </c>
      <c r="R101" s="939">
        <v>2</v>
      </c>
      <c r="T101" s="221">
        <f t="shared" si="209"/>
        <v>2</v>
      </c>
      <c r="U101" s="1024">
        <f>IF(AND(ADBT0=ADBT8,'Assessment Details'!F6='Assessment Details'!U7),T101,0)*0</f>
        <v>0</v>
      </c>
      <c r="V101" s="167"/>
      <c r="W101" s="167"/>
      <c r="X101" s="167"/>
      <c r="Y101" s="168"/>
      <c r="Z101" s="168">
        <f>VLOOKUP(B101,'Manuell filtrering og justering'!$A$7:$H$107,'Manuell filtrering og justering'!$H$1,FALSE)</f>
        <v>2</v>
      </c>
      <c r="AA101" s="169">
        <f t="shared" si="211"/>
        <v>0</v>
      </c>
      <c r="AB101" s="170">
        <f>IF($AC$5='Manuell filtrering og justering'!$J$2,Z101,(T101-AA101))</f>
        <v>2</v>
      </c>
      <c r="AD101" s="171">
        <f t="shared" si="213"/>
        <v>1.5384615384615385E-2</v>
      </c>
      <c r="AE101" s="171">
        <f t="shared" ref="AE101:AE105" si="224">IF(AB101=0,0,(AD101/AB101)*AI101)</f>
        <v>0</v>
      </c>
      <c r="AF101" s="171">
        <f t="shared" ref="AF101:AF105" si="225">IF(AB101=0,0,(AD101/AB101)*AJ101)</f>
        <v>0</v>
      </c>
      <c r="AG101" s="171">
        <f t="shared" ref="AG101:AG105" si="226">IF(AB101=0,0,(AD101/AB101)*AK101)</f>
        <v>0</v>
      </c>
      <c r="AI101" s="172">
        <f>IF(VLOOKUP(E101,'Pre-Assessment Estimator'!$E$11:$Z$226,'Pre-Assessment Estimator'!$G$2,FALSE)&gt;AB101,AB101,VLOOKUP(E101,'Pre-Assessment Estimator'!$E$11:$Z$226,'Pre-Assessment Estimator'!$G$2,FALSE))</f>
        <v>0</v>
      </c>
      <c r="AJ101" s="172">
        <f>IF(VLOOKUP(E101,'Pre-Assessment Estimator'!$E$11:$Z$226,'Pre-Assessment Estimator'!$N$2,FALSE)&gt;AB101,AB101,VLOOKUP(E101,'Pre-Assessment Estimator'!$E$11:$Z$226,'Pre-Assessment Estimator'!$N$2,FALSE))</f>
        <v>0</v>
      </c>
      <c r="AK101" s="172">
        <f>IF(VLOOKUP(E101,'Pre-Assessment Estimator'!$E$11:$Z$226,'Pre-Assessment Estimator'!$U$2,FALSE)&gt;AB101,AB101,VLOOKUP(E101,'Pre-Assessment Estimator'!$E$11:$Z$226,'Pre-Assessment Estimator'!$U$2,FALSE))</f>
        <v>0</v>
      </c>
      <c r="AM101" s="835"/>
      <c r="AN101" s="836"/>
      <c r="AO101" s="836"/>
      <c r="AP101" s="836"/>
      <c r="AQ101" s="837"/>
      <c r="AR101" s="139"/>
      <c r="AS101" s="835"/>
      <c r="AT101" s="836"/>
      <c r="AU101" s="836"/>
      <c r="AV101" s="836"/>
      <c r="AW101" s="837"/>
      <c r="AY101" s="708"/>
      <c r="AZ101" s="709"/>
      <c r="BA101" s="709"/>
      <c r="BB101" s="709"/>
      <c r="BC101" s="838"/>
      <c r="BD101" s="182">
        <f t="shared" ref="BD101:BD105" si="227">IF(BC101=0,9,IF(AI101&gt;=BC101,5,IF(AI101&gt;=BB101,4,IF(AI101&gt;=BA101,3,IF(AI101&gt;=AZ101,2,IF(AI101&lt;AY101,0,1))))))</f>
        <v>9</v>
      </c>
      <c r="BE101" s="164" t="str">
        <f t="shared" si="219"/>
        <v>N/A</v>
      </c>
      <c r="BF101" s="185"/>
      <c r="BG101" s="182">
        <f t="shared" ref="BG101:BG105" si="228">IF(BC101=0,9,IF(AJ101&gt;=BC101,5,IF(AJ101&gt;=BB101,4,IF(AJ101&gt;=BA101,3,IF(AJ101&gt;=AZ101,2,IF(AJ101&lt;AY101,0,1))))))</f>
        <v>9</v>
      </c>
      <c r="BH101" s="164" t="str">
        <f t="shared" si="221"/>
        <v>N/A</v>
      </c>
      <c r="BI101" s="185"/>
      <c r="BJ101" s="182">
        <f t="shared" ref="BJ101:BJ105" si="229">IF(BC101=0,9,IF(AK101&gt;=BC101,5,IF(AK101&gt;=BB101,4,IF(AK101&gt;=BA101,3,IF(AK101&gt;=AZ101,2,IF(AK101&lt;AY101,0,1))))))</f>
        <v>9</v>
      </c>
      <c r="BK101" s="164" t="str">
        <f t="shared" si="222"/>
        <v>N/A</v>
      </c>
      <c r="BL101" s="830"/>
      <c r="BO101" s="167"/>
      <c r="BP101" s="167"/>
      <c r="BQ101" s="167" t="str">
        <f t="shared" si="157"/>
        <v/>
      </c>
      <c r="BR101" s="167">
        <f t="shared" si="198"/>
        <v>9</v>
      </c>
      <c r="BS101" s="167">
        <f t="shared" si="199"/>
        <v>9</v>
      </c>
      <c r="BT101" s="167">
        <f t="shared" si="200"/>
        <v>9</v>
      </c>
      <c r="BW101" s="164"/>
      <c r="BX101" s="164"/>
      <c r="BY101" s="164"/>
      <c r="BZ101" s="164"/>
      <c r="CA101" s="164"/>
      <c r="CB101" s="164"/>
    </row>
    <row r="102" spans="1:81" x14ac:dyDescent="0.25">
      <c r="A102" s="96">
        <v>94</v>
      </c>
      <c r="B102" s="96" t="str">
        <f t="shared" si="223"/>
        <v>Tra 01b</v>
      </c>
      <c r="C102" s="96" t="str">
        <f t="shared" si="159"/>
        <v>Tra 01</v>
      </c>
      <c r="D102" s="163" t="s">
        <v>696</v>
      </c>
      <c r="E102" s="1123" t="s">
        <v>638</v>
      </c>
      <c r="F102" s="939">
        <v>1</v>
      </c>
      <c r="G102" s="939">
        <v>1</v>
      </c>
      <c r="H102" s="939">
        <v>1</v>
      </c>
      <c r="I102" s="939">
        <v>1</v>
      </c>
      <c r="J102" s="939">
        <v>1</v>
      </c>
      <c r="K102" s="939">
        <v>1</v>
      </c>
      <c r="L102" s="939">
        <v>1</v>
      </c>
      <c r="M102" s="939">
        <v>1</v>
      </c>
      <c r="N102" s="939">
        <v>1</v>
      </c>
      <c r="O102" s="939">
        <v>1</v>
      </c>
      <c r="P102" s="939">
        <v>1</v>
      </c>
      <c r="Q102" s="939">
        <v>1</v>
      </c>
      <c r="R102" s="939">
        <v>1</v>
      </c>
      <c r="T102" s="221">
        <f t="shared" si="209"/>
        <v>1</v>
      </c>
      <c r="U102" s="188"/>
      <c r="V102" s="167"/>
      <c r="W102" s="167"/>
      <c r="X102" s="167"/>
      <c r="Y102" s="168"/>
      <c r="Z102" s="168">
        <f>VLOOKUP(B102,'Manuell filtrering og justering'!$A$7:$H$107,'Manuell filtrering og justering'!$H$1,FALSE)</f>
        <v>1</v>
      </c>
      <c r="AA102" s="169">
        <f t="shared" si="211"/>
        <v>0</v>
      </c>
      <c r="AB102" s="170">
        <f>IF($AC$5='Manuell filtrering og justering'!$J$2,Z102,(T102-AA102))</f>
        <v>1</v>
      </c>
      <c r="AD102" s="171">
        <f t="shared" si="213"/>
        <v>7.6923076923076927E-3</v>
      </c>
      <c r="AE102" s="171">
        <f t="shared" si="224"/>
        <v>0</v>
      </c>
      <c r="AF102" s="171">
        <f t="shared" si="225"/>
        <v>0</v>
      </c>
      <c r="AG102" s="171">
        <f t="shared" si="226"/>
        <v>0</v>
      </c>
      <c r="AI102" s="172">
        <f>IF(VLOOKUP(E102,'Pre-Assessment Estimator'!$E$11:$Z$226,'Pre-Assessment Estimator'!$G$2,FALSE)&gt;AB102,AB102,VLOOKUP(E102,'Pre-Assessment Estimator'!$E$11:$Z$226,'Pre-Assessment Estimator'!$G$2,FALSE))</f>
        <v>0</v>
      </c>
      <c r="AJ102" s="172">
        <f>IF(VLOOKUP(E102,'Pre-Assessment Estimator'!$E$11:$Z$226,'Pre-Assessment Estimator'!$N$2,FALSE)&gt;AB102,AB102,VLOOKUP(E102,'Pre-Assessment Estimator'!$E$11:$Z$226,'Pre-Assessment Estimator'!$N$2,FALSE))</f>
        <v>0</v>
      </c>
      <c r="AK102" s="172">
        <f>IF(VLOOKUP(E102,'Pre-Assessment Estimator'!$E$11:$Z$226,'Pre-Assessment Estimator'!$U$2,FALSE)&gt;AB102,AB102,VLOOKUP(E102,'Pre-Assessment Estimator'!$E$11:$Z$226,'Pre-Assessment Estimator'!$U$2,FALSE))</f>
        <v>0</v>
      </c>
      <c r="AM102" s="835"/>
      <c r="AN102" s="836"/>
      <c r="AO102" s="836"/>
      <c r="AP102" s="836">
        <v>1</v>
      </c>
      <c r="AQ102" s="837">
        <v>1</v>
      </c>
      <c r="AR102" s="139"/>
      <c r="AS102" s="835"/>
      <c r="AT102" s="836"/>
      <c r="AU102" s="836"/>
      <c r="AV102" s="836">
        <v>1</v>
      </c>
      <c r="AW102" s="837">
        <v>1</v>
      </c>
      <c r="AY102" s="708"/>
      <c r="AZ102" s="709"/>
      <c r="BA102" s="709"/>
      <c r="BB102" s="183">
        <f>IF($AB102=0,0,IF($E$6=$H$9,AV102,AP102))</f>
        <v>1</v>
      </c>
      <c r="BC102" s="183">
        <f>IF($AB102=0,0,IF($E$6=$H$9,AW102,AQ102))</f>
        <v>1</v>
      </c>
      <c r="BD102" s="182">
        <f t="shared" si="227"/>
        <v>3</v>
      </c>
      <c r="BE102" s="164" t="str">
        <f t="shared" si="219"/>
        <v>Very Good</v>
      </c>
      <c r="BF102" s="185"/>
      <c r="BG102" s="182">
        <f t="shared" si="228"/>
        <v>3</v>
      </c>
      <c r="BH102" s="164" t="str">
        <f t="shared" si="221"/>
        <v>Very Good</v>
      </c>
      <c r="BI102" s="185"/>
      <c r="BJ102" s="182">
        <f t="shared" si="229"/>
        <v>3</v>
      </c>
      <c r="BK102" s="164" t="str">
        <f t="shared" si="222"/>
        <v>Very Good</v>
      </c>
      <c r="BL102" s="830"/>
      <c r="BO102" s="167"/>
      <c r="BP102" s="167"/>
      <c r="BQ102" s="167" t="str">
        <f t="shared" si="157"/>
        <v/>
      </c>
      <c r="BR102" s="167">
        <f t="shared" si="198"/>
        <v>9</v>
      </c>
      <c r="BS102" s="167">
        <f t="shared" si="199"/>
        <v>9</v>
      </c>
      <c r="BT102" s="167">
        <f t="shared" si="200"/>
        <v>9</v>
      </c>
      <c r="BW102" s="164"/>
      <c r="BX102" s="164"/>
      <c r="BY102" s="164"/>
      <c r="BZ102" s="164"/>
      <c r="CA102" s="164"/>
      <c r="CB102" s="164"/>
    </row>
    <row r="103" spans="1:81" x14ac:dyDescent="0.25">
      <c r="A103" s="96">
        <v>95</v>
      </c>
      <c r="B103" s="137" t="str">
        <f>D103</f>
        <v>Tra 02</v>
      </c>
      <c r="C103" s="137" t="str">
        <f>B103</f>
        <v>Tra 02</v>
      </c>
      <c r="D103" s="834" t="s">
        <v>148</v>
      </c>
      <c r="E103" s="832" t="s">
        <v>462</v>
      </c>
      <c r="F103" s="933">
        <f>SUM(F104:F105)</f>
        <v>10</v>
      </c>
      <c r="G103" s="933">
        <f t="shared" ref="G103:R103" si="230">SUM(G104:G105)</f>
        <v>10</v>
      </c>
      <c r="H103" s="933">
        <f t="shared" si="230"/>
        <v>10</v>
      </c>
      <c r="I103" s="933">
        <f t="shared" si="230"/>
        <v>10</v>
      </c>
      <c r="J103" s="933">
        <f t="shared" si="230"/>
        <v>10</v>
      </c>
      <c r="K103" s="933">
        <f t="shared" si="230"/>
        <v>10</v>
      </c>
      <c r="L103" s="933">
        <f t="shared" si="230"/>
        <v>10</v>
      </c>
      <c r="M103" s="933">
        <f t="shared" si="230"/>
        <v>10</v>
      </c>
      <c r="N103" s="933">
        <f t="shared" si="230"/>
        <v>10</v>
      </c>
      <c r="O103" s="933">
        <f t="shared" si="230"/>
        <v>10</v>
      </c>
      <c r="P103" s="933">
        <f t="shared" si="230"/>
        <v>10</v>
      </c>
      <c r="Q103" s="933">
        <f t="shared" ref="Q103" si="231">SUM(Q104:Q105)</f>
        <v>10</v>
      </c>
      <c r="R103" s="933">
        <f t="shared" si="230"/>
        <v>10</v>
      </c>
      <c r="T103" s="963">
        <f t="shared" si="209"/>
        <v>10</v>
      </c>
      <c r="U103" s="222"/>
      <c r="V103" s="230"/>
      <c r="W103" s="230"/>
      <c r="X103" s="230">
        <f>'Manuell filtrering og justering'!E44</f>
        <v>0</v>
      </c>
      <c r="Y103" s="230"/>
      <c r="Z103" s="958">
        <f t="shared" ref="Z103" si="232">SUM(Z104:Z105)</f>
        <v>10</v>
      </c>
      <c r="AA103" s="963">
        <f t="shared" si="211"/>
        <v>0</v>
      </c>
      <c r="AB103" s="1066">
        <f t="shared" ref="AB103" si="233">SUM(AB104:AB105)</f>
        <v>10</v>
      </c>
      <c r="AD103" s="171">
        <f t="shared" si="213"/>
        <v>7.6923076923076927E-2</v>
      </c>
      <c r="AE103" s="921">
        <f>SUM(AE104:AE105)</f>
        <v>0</v>
      </c>
      <c r="AF103" s="921">
        <f t="shared" ref="AF103" si="234">SUM(AF104:AF105)</f>
        <v>0</v>
      </c>
      <c r="AG103" s="921">
        <f t="shared" ref="AG103" si="235">SUM(AG104:AG105)</f>
        <v>0</v>
      </c>
      <c r="AI103" s="958">
        <f t="shared" ref="AI103" si="236">SUM(AI104:AI105)</f>
        <v>0</v>
      </c>
      <c r="AJ103" s="958">
        <f t="shared" ref="AJ103" si="237">SUM(AJ104:AJ105)</f>
        <v>0</v>
      </c>
      <c r="AK103" s="958">
        <f t="shared" ref="AK103" si="238">SUM(AK104:AK105)</f>
        <v>0</v>
      </c>
      <c r="AM103" s="292"/>
      <c r="AN103" s="293"/>
      <c r="AO103" s="293"/>
      <c r="AP103" s="293"/>
      <c r="AQ103" s="294"/>
      <c r="AR103" s="139"/>
      <c r="AS103" s="292"/>
      <c r="AT103" s="293"/>
      <c r="AU103" s="293"/>
      <c r="AV103" s="293"/>
      <c r="AW103" s="294"/>
      <c r="AY103" s="188"/>
      <c r="AZ103" s="189"/>
      <c r="BA103" s="189"/>
      <c r="BB103" s="189"/>
      <c r="BC103" s="190"/>
      <c r="BD103" s="182">
        <f t="shared" si="227"/>
        <v>9</v>
      </c>
      <c r="BE103" s="164" t="str">
        <f t="shared" si="219"/>
        <v>N/A</v>
      </c>
      <c r="BF103" s="185"/>
      <c r="BG103" s="182">
        <f t="shared" si="228"/>
        <v>9</v>
      </c>
      <c r="BH103" s="164" t="str">
        <f t="shared" si="221"/>
        <v>N/A</v>
      </c>
      <c r="BI103" s="185"/>
      <c r="BJ103" s="182">
        <f t="shared" si="229"/>
        <v>9</v>
      </c>
      <c r="BK103" s="164" t="str">
        <f t="shared" si="222"/>
        <v>N/A</v>
      </c>
      <c r="BL103" s="185"/>
      <c r="BO103" s="167"/>
      <c r="BP103" s="167"/>
      <c r="BQ103" s="167" t="str">
        <f t="shared" si="157"/>
        <v/>
      </c>
      <c r="BR103" s="167">
        <f t="shared" si="198"/>
        <v>9</v>
      </c>
      <c r="BS103" s="167">
        <f t="shared" si="199"/>
        <v>9</v>
      </c>
      <c r="BT103" s="167">
        <f t="shared" si="200"/>
        <v>9</v>
      </c>
      <c r="BW103" s="167" t="str">
        <f>D103</f>
        <v>Tra 02</v>
      </c>
      <c r="BX103" s="167" t="str">
        <f>IFERROR(VLOOKUP($E103,'Pre-Assessment Estimator'!$E$11:$AB$226,'Pre-Assessment Estimator'!AB$2,FALSE),"")</f>
        <v>N/A</v>
      </c>
      <c r="BY103" s="167">
        <f>IFERROR(VLOOKUP($E103,'Pre-Assessment Estimator'!$E$11:$AI$226,'Pre-Assessment Estimator'!AI$2,FALSE),"")</f>
        <v>0</v>
      </c>
      <c r="BZ103" s="167">
        <f>IFERROR(VLOOKUP($BX103,$E$293:$H$326,F$291,FALSE),"")</f>
        <v>1</v>
      </c>
      <c r="CA103" s="167">
        <f>IFERROR(VLOOKUP($BX103,$E$293:$H$326,G$291,FALSE),"")</f>
        <v>0</v>
      </c>
      <c r="CB103" s="167"/>
      <c r="CC103" s="96" t="str">
        <f>IFERROR(VLOOKUP($BX103,$E$293:$H$326,I$291,FALSE),"")</f>
        <v/>
      </c>
    </row>
    <row r="104" spans="1:81" x14ac:dyDescent="0.25">
      <c r="A104" s="96">
        <v>96</v>
      </c>
      <c r="C104" s="96" t="str">
        <f t="shared" si="159"/>
        <v>Tra 02</v>
      </c>
      <c r="D104" s="163" t="s">
        <v>693</v>
      </c>
      <c r="E104" s="1123" t="s">
        <v>988</v>
      </c>
      <c r="F104" s="775">
        <v>0</v>
      </c>
      <c r="G104" s="775">
        <v>0</v>
      </c>
      <c r="H104" s="775">
        <v>0</v>
      </c>
      <c r="I104" s="775">
        <v>0</v>
      </c>
      <c r="J104" s="775">
        <v>0</v>
      </c>
      <c r="K104" s="775">
        <v>0</v>
      </c>
      <c r="L104" s="775">
        <v>0</v>
      </c>
      <c r="M104" s="775">
        <v>0</v>
      </c>
      <c r="N104" s="775">
        <v>0</v>
      </c>
      <c r="O104" s="775">
        <v>0</v>
      </c>
      <c r="P104" s="775">
        <v>0</v>
      </c>
      <c r="Q104" s="775">
        <v>0</v>
      </c>
      <c r="R104" s="775">
        <v>0</v>
      </c>
      <c r="T104" s="221">
        <f t="shared" si="209"/>
        <v>0</v>
      </c>
      <c r="U104" s="166"/>
      <c r="V104" s="167"/>
      <c r="W104" s="167"/>
      <c r="X104" s="167"/>
      <c r="Y104" s="168"/>
      <c r="Z104" s="168"/>
      <c r="AA104" s="169">
        <f t="shared" si="211"/>
        <v>0</v>
      </c>
      <c r="AB104" s="170"/>
      <c r="AD104" s="171">
        <f t="shared" si="213"/>
        <v>0</v>
      </c>
      <c r="AE104" s="171">
        <f t="shared" si="224"/>
        <v>0</v>
      </c>
      <c r="AF104" s="171">
        <f t="shared" si="225"/>
        <v>0</v>
      </c>
      <c r="AG104" s="171">
        <f t="shared" si="226"/>
        <v>0</v>
      </c>
      <c r="AI104" s="172">
        <f>IF(VLOOKUP(E104,'Pre-Assessment Estimator'!$E$11:$Z$226,'Pre-Assessment Estimator'!$G$2,FALSE)&gt;AB104,AB104,VLOOKUP(E104,'Pre-Assessment Estimator'!$E$11:$Z$226,'Pre-Assessment Estimator'!$G$2,FALSE))</f>
        <v>0</v>
      </c>
      <c r="AJ104" s="172">
        <f>IF(VLOOKUP(E104,'Pre-Assessment Estimator'!$E$11:$Z$226,'Pre-Assessment Estimator'!$N$2,FALSE)&gt;AB104,AB104,VLOOKUP(E104,'Pre-Assessment Estimator'!$E$11:$Z$226,'Pre-Assessment Estimator'!$N$2,FALSE))</f>
        <v>0</v>
      </c>
      <c r="AK104" s="172">
        <f>IF(VLOOKUP(E104,'Pre-Assessment Estimator'!$E$11:$Z$226,'Pre-Assessment Estimator'!$U$2,FALSE)&gt;AB104,AB104,VLOOKUP(E104,'Pre-Assessment Estimator'!$E$11:$Z$226,'Pre-Assessment Estimator'!$U$2,FALSE))</f>
        <v>0</v>
      </c>
      <c r="AM104" s="292"/>
      <c r="AN104" s="293"/>
      <c r="AO104" s="293"/>
      <c r="AP104" s="293"/>
      <c r="AQ104" s="294"/>
      <c r="AR104" s="139"/>
      <c r="AS104" s="292"/>
      <c r="AT104" s="293"/>
      <c r="AU104" s="293"/>
      <c r="AV104" s="293"/>
      <c r="AW104" s="294"/>
      <c r="AY104" s="188"/>
      <c r="AZ104" s="189"/>
      <c r="BA104" s="189"/>
      <c r="BB104" s="189"/>
      <c r="BC104" s="190"/>
      <c r="BD104" s="182">
        <f t="shared" si="227"/>
        <v>9</v>
      </c>
      <c r="BE104" s="164" t="str">
        <f t="shared" si="219"/>
        <v>N/A</v>
      </c>
      <c r="BF104" s="185"/>
      <c r="BG104" s="182">
        <f t="shared" si="228"/>
        <v>9</v>
      </c>
      <c r="BH104" s="164" t="str">
        <f t="shared" si="221"/>
        <v>N/A</v>
      </c>
      <c r="BI104" s="185"/>
      <c r="BJ104" s="182">
        <f t="shared" si="229"/>
        <v>9</v>
      </c>
      <c r="BK104" s="164" t="str">
        <f t="shared" si="222"/>
        <v>N/A</v>
      </c>
      <c r="BL104" s="185"/>
      <c r="BO104" s="167"/>
      <c r="BP104" s="167"/>
      <c r="BQ104" s="167" t="str">
        <f t="shared" si="157"/>
        <v/>
      </c>
      <c r="BR104" s="167">
        <f t="shared" si="198"/>
        <v>9</v>
      </c>
      <c r="BS104" s="167">
        <f t="shared" si="199"/>
        <v>9</v>
      </c>
      <c r="BT104" s="167">
        <f t="shared" si="200"/>
        <v>9</v>
      </c>
      <c r="BW104" s="167"/>
      <c r="BX104" s="167"/>
      <c r="BY104" s="167"/>
      <c r="BZ104" s="167"/>
      <c r="CA104" s="167"/>
      <c r="CB104" s="167"/>
    </row>
    <row r="105" spans="1:81" x14ac:dyDescent="0.25">
      <c r="A105" s="96">
        <v>97</v>
      </c>
      <c r="B105" s="96" t="str">
        <f t="shared" ref="B105" si="239">$D$103&amp;D105</f>
        <v>Tra 02b</v>
      </c>
      <c r="C105" s="96" t="str">
        <f t="shared" si="159"/>
        <v>Tra 02</v>
      </c>
      <c r="D105" s="163" t="s">
        <v>696</v>
      </c>
      <c r="E105" s="1123" t="s">
        <v>640</v>
      </c>
      <c r="F105" s="775">
        <v>10</v>
      </c>
      <c r="G105" s="775">
        <v>10</v>
      </c>
      <c r="H105" s="775">
        <v>10</v>
      </c>
      <c r="I105" s="775">
        <v>10</v>
      </c>
      <c r="J105" s="775">
        <v>10</v>
      </c>
      <c r="K105" s="775">
        <v>10</v>
      </c>
      <c r="L105" s="775">
        <v>10</v>
      </c>
      <c r="M105" s="775">
        <v>10</v>
      </c>
      <c r="N105" s="775">
        <v>10</v>
      </c>
      <c r="O105" s="775">
        <v>10</v>
      </c>
      <c r="P105" s="775">
        <v>10</v>
      </c>
      <c r="Q105" s="775">
        <v>10</v>
      </c>
      <c r="R105" s="775">
        <v>10</v>
      </c>
      <c r="T105" s="221">
        <f t="shared" si="209"/>
        <v>10</v>
      </c>
      <c r="U105" s="166"/>
      <c r="V105" s="167"/>
      <c r="W105" s="167"/>
      <c r="X105" s="167"/>
      <c r="Y105" s="168"/>
      <c r="Z105" s="168">
        <f>VLOOKUP(B105,'Manuell filtrering og justering'!$A$7:$H$107,'Manuell filtrering og justering'!$H$1,FALSE)</f>
        <v>10</v>
      </c>
      <c r="AA105" s="169">
        <f t="shared" si="211"/>
        <v>0</v>
      </c>
      <c r="AB105" s="170">
        <f>IF($AC$5='Manuell filtrering og justering'!$J$2,Z105,(T105-AA105))</f>
        <v>10</v>
      </c>
      <c r="AD105" s="171">
        <f t="shared" si="213"/>
        <v>7.6923076923076927E-2</v>
      </c>
      <c r="AE105" s="171">
        <f t="shared" si="224"/>
        <v>0</v>
      </c>
      <c r="AF105" s="171">
        <f t="shared" si="225"/>
        <v>0</v>
      </c>
      <c r="AG105" s="171">
        <f t="shared" si="226"/>
        <v>0</v>
      </c>
      <c r="AI105" s="1067">
        <f>IF(AI246=AD_no,0,IF(VLOOKUP(E105,'Pre-Assessment Estimator'!$E$11:$Z$226,'Pre-Assessment Estimator'!$G$2,FALSE)&gt;AB105,AB105,VLOOKUP(E105,'Pre-Assessment Estimator'!$E$11:$Z$226,'Pre-Assessment Estimator'!$G$2,FALSE)))</f>
        <v>0</v>
      </c>
      <c r="AJ105" s="1067">
        <f>IF(AJ246=AD_no,0,IF(VLOOKUP(E105,'Pre-Assessment Estimator'!$E$11:$Z$226,'Pre-Assessment Estimator'!$N$2,FALSE)&gt;AB105,AB105,VLOOKUP(E105,'Pre-Assessment Estimator'!$E$11:$Z$226,'Pre-Assessment Estimator'!$N$2,FALSE)))</f>
        <v>0</v>
      </c>
      <c r="AK105" s="1067">
        <f>IF(AK246=AD_no,0,IF(VLOOKUP(E105,'Pre-Assessment Estimator'!$E$11:$Z$226,'Pre-Assessment Estimator'!$U$2,FALSE)&gt;AB105,AB105,VLOOKUP(E105,'Pre-Assessment Estimator'!$E$11:$Z$226,'Pre-Assessment Estimator'!$U$2,FALSE)))</f>
        <v>0</v>
      </c>
      <c r="AM105" s="292"/>
      <c r="AN105" s="293"/>
      <c r="AO105" s="293"/>
      <c r="AP105" s="293"/>
      <c r="AQ105" s="294"/>
      <c r="AR105" s="139"/>
      <c r="AS105" s="292"/>
      <c r="AT105" s="293"/>
      <c r="AU105" s="293"/>
      <c r="AV105" s="293"/>
      <c r="AW105" s="294"/>
      <c r="AY105" s="188"/>
      <c r="AZ105" s="189"/>
      <c r="BA105" s="189"/>
      <c r="BB105" s="189"/>
      <c r="BC105" s="190"/>
      <c r="BD105" s="182">
        <f t="shared" si="227"/>
        <v>9</v>
      </c>
      <c r="BE105" s="164" t="str">
        <f t="shared" si="219"/>
        <v>N/A</v>
      </c>
      <c r="BF105" s="185"/>
      <c r="BG105" s="182">
        <f t="shared" si="228"/>
        <v>9</v>
      </c>
      <c r="BH105" s="164" t="str">
        <f t="shared" si="221"/>
        <v>N/A</v>
      </c>
      <c r="BI105" s="185"/>
      <c r="BJ105" s="182">
        <f t="shared" si="229"/>
        <v>9</v>
      </c>
      <c r="BK105" s="164" t="str">
        <f t="shared" si="222"/>
        <v>N/A</v>
      </c>
      <c r="BL105" s="185"/>
      <c r="BO105" s="167"/>
      <c r="BP105" s="167"/>
      <c r="BQ105" s="167" t="str">
        <f t="shared" si="157"/>
        <v/>
      </c>
      <c r="BR105" s="167">
        <f t="shared" si="198"/>
        <v>9</v>
      </c>
      <c r="BS105" s="167">
        <f t="shared" si="199"/>
        <v>9</v>
      </c>
      <c r="BT105" s="167">
        <f t="shared" si="200"/>
        <v>9</v>
      </c>
      <c r="BW105" s="167"/>
      <c r="BX105" s="167"/>
      <c r="BY105" s="167"/>
      <c r="BZ105" s="167"/>
      <c r="CA105" s="167"/>
      <c r="CB105" s="167"/>
    </row>
    <row r="106" spans="1:81" x14ac:dyDescent="0.25">
      <c r="A106" s="96">
        <v>98</v>
      </c>
      <c r="D106" s="701" t="s">
        <v>149</v>
      </c>
      <c r="E106" s="700"/>
      <c r="F106" s="934"/>
      <c r="G106" s="934"/>
      <c r="H106" s="934"/>
      <c r="I106" s="934"/>
      <c r="J106" s="934"/>
      <c r="K106" s="934"/>
      <c r="L106" s="934"/>
      <c r="M106" s="934"/>
      <c r="N106" s="934"/>
      <c r="O106" s="934"/>
      <c r="P106" s="934"/>
      <c r="Q106" s="934"/>
      <c r="R106" s="934"/>
      <c r="T106" s="956"/>
      <c r="U106" s="701"/>
      <c r="V106" s="700"/>
      <c r="W106" s="700"/>
      <c r="X106" s="700"/>
      <c r="Y106" s="955"/>
      <c r="Z106" s="955"/>
      <c r="AA106" s="956"/>
      <c r="AB106" s="957"/>
      <c r="AD106" s="171">
        <f t="shared" si="213"/>
        <v>0</v>
      </c>
      <c r="AE106" s="960"/>
      <c r="AF106" s="960"/>
      <c r="AG106" s="960"/>
      <c r="AI106" s="720"/>
      <c r="AJ106" s="720"/>
      <c r="AK106" s="720"/>
      <c r="AM106" s="292"/>
      <c r="AN106" s="293"/>
      <c r="AO106" s="293"/>
      <c r="AP106" s="293"/>
      <c r="AQ106" s="294"/>
      <c r="AR106" s="139"/>
      <c r="AS106" s="292"/>
      <c r="AT106" s="293"/>
      <c r="AU106" s="293"/>
      <c r="AV106" s="293"/>
      <c r="AW106" s="294"/>
      <c r="AY106" s="188"/>
      <c r="AZ106" s="189"/>
      <c r="BA106" s="189"/>
      <c r="BB106" s="189"/>
      <c r="BC106" s="190"/>
      <c r="BD106" s="182">
        <f t="shared" si="60"/>
        <v>9</v>
      </c>
      <c r="BE106" s="164" t="str">
        <f t="shared" si="219"/>
        <v>N/A</v>
      </c>
      <c r="BF106" s="185"/>
      <c r="BG106" s="182">
        <f t="shared" si="220"/>
        <v>9</v>
      </c>
      <c r="BH106" s="164" t="str">
        <f t="shared" si="221"/>
        <v>N/A</v>
      </c>
      <c r="BI106" s="185"/>
      <c r="BJ106" s="182">
        <f t="shared" si="28"/>
        <v>9</v>
      </c>
      <c r="BK106" s="164" t="str">
        <f t="shared" si="222"/>
        <v>N/A</v>
      </c>
      <c r="BL106" s="185"/>
      <c r="BO106" s="167"/>
      <c r="BP106" s="167"/>
      <c r="BQ106" s="167" t="str">
        <f t="shared" si="157"/>
        <v/>
      </c>
      <c r="BR106" s="167">
        <f t="shared" si="198"/>
        <v>9</v>
      </c>
      <c r="BS106" s="167">
        <f t="shared" si="199"/>
        <v>9</v>
      </c>
      <c r="BT106" s="167">
        <f t="shared" si="200"/>
        <v>9</v>
      </c>
      <c r="BW106" s="167" t="str">
        <f>D106</f>
        <v>Tra 03</v>
      </c>
      <c r="BX106" s="167" t="str">
        <f>IFERROR(VLOOKUP($E106,'Pre-Assessment Estimator'!$E$11:$AB$226,'Pre-Assessment Estimator'!AB$2,FALSE),"")</f>
        <v/>
      </c>
      <c r="BY106" s="167" t="str">
        <f>IFERROR(VLOOKUP($E106,'Pre-Assessment Estimator'!$E$11:$AI$226,'Pre-Assessment Estimator'!AI$2,FALSE),"")</f>
        <v/>
      </c>
      <c r="BZ106" s="167" t="str">
        <f t="shared" ref="BZ106:CA113" si="240">IFERROR(VLOOKUP($BX106,$E$293:$H$326,F$291,FALSE),"")</f>
        <v/>
      </c>
      <c r="CA106" s="167" t="str">
        <f t="shared" si="240"/>
        <v/>
      </c>
      <c r="CB106" s="167"/>
      <c r="CC106" s="96" t="s">
        <v>430</v>
      </c>
    </row>
    <row r="107" spans="1:81" x14ac:dyDescent="0.25">
      <c r="A107" s="96">
        <v>99</v>
      </c>
      <c r="D107" s="701" t="s">
        <v>150</v>
      </c>
      <c r="E107" s="700"/>
      <c r="F107" s="934"/>
      <c r="G107" s="934"/>
      <c r="H107" s="934"/>
      <c r="I107" s="934"/>
      <c r="J107" s="934"/>
      <c r="K107" s="934"/>
      <c r="L107" s="934"/>
      <c r="M107" s="934"/>
      <c r="N107" s="934"/>
      <c r="O107" s="934"/>
      <c r="P107" s="934"/>
      <c r="Q107" s="934"/>
      <c r="R107" s="934"/>
      <c r="T107" s="956"/>
      <c r="U107" s="701"/>
      <c r="V107" s="700"/>
      <c r="W107" s="700"/>
      <c r="X107" s="700"/>
      <c r="Y107" s="955"/>
      <c r="Z107" s="955"/>
      <c r="AA107" s="956"/>
      <c r="AB107" s="957"/>
      <c r="AD107" s="171">
        <f t="shared" si="213"/>
        <v>0</v>
      </c>
      <c r="AE107" s="960"/>
      <c r="AF107" s="960"/>
      <c r="AG107" s="960"/>
      <c r="AI107" s="720"/>
      <c r="AJ107" s="720"/>
      <c r="AK107" s="720"/>
      <c r="AM107" s="292"/>
      <c r="AN107" s="293"/>
      <c r="AO107" s="293"/>
      <c r="AP107" s="293"/>
      <c r="AQ107" s="294"/>
      <c r="AR107" s="139"/>
      <c r="AS107" s="292"/>
      <c r="AT107" s="293"/>
      <c r="AU107" s="293"/>
      <c r="AV107" s="293"/>
      <c r="AW107" s="294"/>
      <c r="AY107" s="188"/>
      <c r="AZ107" s="189"/>
      <c r="BA107" s="189"/>
      <c r="BB107" s="189"/>
      <c r="BC107" s="190"/>
      <c r="BD107" s="182">
        <f t="shared" si="60"/>
        <v>9</v>
      </c>
      <c r="BE107" s="164" t="str">
        <f t="shared" si="219"/>
        <v>N/A</v>
      </c>
      <c r="BF107" s="185"/>
      <c r="BG107" s="182">
        <f t="shared" si="220"/>
        <v>9</v>
      </c>
      <c r="BH107" s="164" t="str">
        <f t="shared" si="221"/>
        <v>N/A</v>
      </c>
      <c r="BI107" s="185"/>
      <c r="BJ107" s="182">
        <f t="shared" si="28"/>
        <v>9</v>
      </c>
      <c r="BK107" s="164" t="str">
        <f t="shared" si="222"/>
        <v>N/A</v>
      </c>
      <c r="BL107" s="185"/>
      <c r="BO107" s="167"/>
      <c r="BP107" s="167"/>
      <c r="BQ107" s="167" t="str">
        <f t="shared" si="157"/>
        <v/>
      </c>
      <c r="BR107" s="167">
        <f t="shared" si="198"/>
        <v>9</v>
      </c>
      <c r="BS107" s="167">
        <f t="shared" si="199"/>
        <v>9</v>
      </c>
      <c r="BT107" s="167">
        <f t="shared" si="200"/>
        <v>9</v>
      </c>
      <c r="BW107" s="167" t="str">
        <f>D107</f>
        <v>Tra 04</v>
      </c>
      <c r="BX107" s="167" t="str">
        <f>IFERROR(VLOOKUP($E107,'Pre-Assessment Estimator'!$E$11:$AB$226,'Pre-Assessment Estimator'!AB$2,FALSE),"")</f>
        <v/>
      </c>
      <c r="BY107" s="167" t="str">
        <f>IFERROR(VLOOKUP($E107,'Pre-Assessment Estimator'!$E$11:$AI$226,'Pre-Assessment Estimator'!AI$2,FALSE),"")</f>
        <v/>
      </c>
      <c r="BZ107" s="167" t="str">
        <f t="shared" si="240"/>
        <v/>
      </c>
      <c r="CA107" s="167" t="str">
        <f t="shared" si="240"/>
        <v/>
      </c>
      <c r="CB107" s="167"/>
      <c r="CC107" s="96" t="str">
        <f t="shared" ref="CC107:CC112" si="241">IFERROR(VLOOKUP($BX107,$E$293:$H$326,I$291,FALSE),"")</f>
        <v/>
      </c>
    </row>
    <row r="108" spans="1:81" x14ac:dyDescent="0.25">
      <c r="A108" s="96">
        <v>100</v>
      </c>
      <c r="D108" s="701" t="s">
        <v>151</v>
      </c>
      <c r="E108" s="700"/>
      <c r="F108" s="934"/>
      <c r="G108" s="934"/>
      <c r="H108" s="934"/>
      <c r="I108" s="934"/>
      <c r="J108" s="934"/>
      <c r="K108" s="934"/>
      <c r="L108" s="934"/>
      <c r="M108" s="934"/>
      <c r="N108" s="934"/>
      <c r="O108" s="934"/>
      <c r="P108" s="934"/>
      <c r="Q108" s="934"/>
      <c r="R108" s="934"/>
      <c r="T108" s="956"/>
      <c r="U108" s="701"/>
      <c r="V108" s="700"/>
      <c r="W108" s="700"/>
      <c r="X108" s="700"/>
      <c r="Y108" s="955"/>
      <c r="Z108" s="955"/>
      <c r="AA108" s="956"/>
      <c r="AB108" s="957"/>
      <c r="AD108" s="171">
        <f t="shared" si="213"/>
        <v>0</v>
      </c>
      <c r="AE108" s="960"/>
      <c r="AF108" s="960"/>
      <c r="AG108" s="960"/>
      <c r="AI108" s="720"/>
      <c r="AJ108" s="720"/>
      <c r="AK108" s="720"/>
      <c r="AM108" s="292"/>
      <c r="AN108" s="293"/>
      <c r="AO108" s="293"/>
      <c r="AP108" s="293"/>
      <c r="AQ108" s="294"/>
      <c r="AR108" s="139"/>
      <c r="AS108" s="292"/>
      <c r="AT108" s="293"/>
      <c r="AU108" s="293"/>
      <c r="AV108" s="293"/>
      <c r="AW108" s="294"/>
      <c r="AY108" s="188"/>
      <c r="AZ108" s="189"/>
      <c r="BA108" s="189"/>
      <c r="BB108" s="189"/>
      <c r="BC108" s="190"/>
      <c r="BD108" s="182">
        <f t="shared" si="60"/>
        <v>9</v>
      </c>
      <c r="BE108" s="164" t="str">
        <f t="shared" si="219"/>
        <v>N/A</v>
      </c>
      <c r="BF108" s="185"/>
      <c r="BG108" s="182">
        <f t="shared" si="220"/>
        <v>9</v>
      </c>
      <c r="BH108" s="164" t="str">
        <f t="shared" si="221"/>
        <v>N/A</v>
      </c>
      <c r="BI108" s="185"/>
      <c r="BJ108" s="182">
        <f t="shared" si="28"/>
        <v>9</v>
      </c>
      <c r="BK108" s="164" t="str">
        <f t="shared" si="222"/>
        <v>N/A</v>
      </c>
      <c r="BL108" s="185"/>
      <c r="BO108" s="167"/>
      <c r="BP108" s="167"/>
      <c r="BQ108" s="167" t="str">
        <f t="shared" si="157"/>
        <v/>
      </c>
      <c r="BR108" s="167">
        <f t="shared" si="198"/>
        <v>9</v>
      </c>
      <c r="BS108" s="167">
        <f t="shared" si="199"/>
        <v>9</v>
      </c>
      <c r="BT108" s="167">
        <f t="shared" si="200"/>
        <v>9</v>
      </c>
      <c r="BW108" s="167" t="str">
        <f>D108</f>
        <v>Tra 05</v>
      </c>
      <c r="BX108" s="167" t="str">
        <f>IFERROR(VLOOKUP($E108,'Pre-Assessment Estimator'!$E$11:$AB$226,'Pre-Assessment Estimator'!AB$2,FALSE),"")</f>
        <v/>
      </c>
      <c r="BY108" s="167" t="str">
        <f>IFERROR(VLOOKUP($E108,'Pre-Assessment Estimator'!$E$11:$AI$226,'Pre-Assessment Estimator'!AI$2,FALSE),"")</f>
        <v/>
      </c>
      <c r="BZ108" s="167" t="str">
        <f t="shared" si="240"/>
        <v/>
      </c>
      <c r="CA108" s="167" t="str">
        <f t="shared" si="240"/>
        <v/>
      </c>
      <c r="CB108" s="167"/>
      <c r="CC108" s="96" t="str">
        <f t="shared" si="241"/>
        <v/>
      </c>
    </row>
    <row r="109" spans="1:81" ht="15.75" thickBot="1" x14ac:dyDescent="0.3">
      <c r="A109" s="96">
        <v>101</v>
      </c>
      <c r="D109" s="705" t="s">
        <v>314</v>
      </c>
      <c r="E109" s="706"/>
      <c r="F109" s="937"/>
      <c r="G109" s="937"/>
      <c r="H109" s="937"/>
      <c r="I109" s="937"/>
      <c r="J109" s="937"/>
      <c r="K109" s="937"/>
      <c r="L109" s="937"/>
      <c r="M109" s="937"/>
      <c r="N109" s="937"/>
      <c r="O109" s="937"/>
      <c r="P109" s="937"/>
      <c r="Q109" s="937"/>
      <c r="R109" s="937"/>
      <c r="T109" s="956"/>
      <c r="U109" s="703"/>
      <c r="V109" s="704"/>
      <c r="W109" s="704"/>
      <c r="X109" s="700"/>
      <c r="Y109" s="955"/>
      <c r="Z109" s="955"/>
      <c r="AA109" s="956"/>
      <c r="AB109" s="957"/>
      <c r="AD109" s="171">
        <f t="shared" si="213"/>
        <v>0</v>
      </c>
      <c r="AE109" s="960"/>
      <c r="AF109" s="960"/>
      <c r="AG109" s="960"/>
      <c r="AI109" s="720"/>
      <c r="AJ109" s="720"/>
      <c r="AK109" s="720"/>
      <c r="AM109" s="295"/>
      <c r="AN109" s="296"/>
      <c r="AO109" s="296"/>
      <c r="AP109" s="296"/>
      <c r="AQ109" s="297"/>
      <c r="AR109" s="139"/>
      <c r="AS109" s="295"/>
      <c r="AT109" s="296"/>
      <c r="AU109" s="296"/>
      <c r="AV109" s="296"/>
      <c r="AW109" s="297"/>
      <c r="AY109" s="194"/>
      <c r="AZ109" s="196"/>
      <c r="BA109" s="196"/>
      <c r="BB109" s="196"/>
      <c r="BC109" s="197"/>
      <c r="BD109" s="198">
        <f t="shared" ref="BD109" si="242">IF(BC109=0,9,IF(AI109&gt;=BC109,5,IF(AI109&gt;=BB109,4,IF(AI109&gt;=BA109,3,IF(AI109&gt;=AZ109,2,IF(AI109&lt;AY109,0,1))))))</f>
        <v>9</v>
      </c>
      <c r="BE109" s="164" t="str">
        <f t="shared" si="219"/>
        <v>N/A</v>
      </c>
      <c r="BF109" s="200"/>
      <c r="BG109" s="198">
        <f t="shared" si="220"/>
        <v>9</v>
      </c>
      <c r="BH109" s="164" t="str">
        <f t="shared" si="221"/>
        <v>N/A</v>
      </c>
      <c r="BI109" s="200"/>
      <c r="BJ109" s="198">
        <f t="shared" si="28"/>
        <v>9</v>
      </c>
      <c r="BK109" s="164" t="str">
        <f t="shared" si="222"/>
        <v>N/A</v>
      </c>
      <c r="BL109" s="200"/>
      <c r="BO109" s="167"/>
      <c r="BP109" s="167"/>
      <c r="BQ109" s="167" t="str">
        <f t="shared" si="157"/>
        <v/>
      </c>
      <c r="BR109" s="167">
        <f t="shared" si="198"/>
        <v>9</v>
      </c>
      <c r="BS109" s="167">
        <f t="shared" si="199"/>
        <v>9</v>
      </c>
      <c r="BT109" s="167">
        <f t="shared" si="200"/>
        <v>9</v>
      </c>
      <c r="BW109" s="314" t="str">
        <f>D109</f>
        <v>Tra 06</v>
      </c>
      <c r="BX109" s="314" t="str">
        <f>IFERROR(VLOOKUP($E109,'Pre-Assessment Estimator'!$E$11:$AB$226,'Pre-Assessment Estimator'!AB$2,FALSE),"")</f>
        <v/>
      </c>
      <c r="BY109" s="314" t="str">
        <f>IFERROR(VLOOKUP($E109,'Pre-Assessment Estimator'!$E$11:$AI$226,'Pre-Assessment Estimator'!AI$2,FALSE),"")</f>
        <v/>
      </c>
      <c r="BZ109" s="314" t="str">
        <f t="shared" si="240"/>
        <v/>
      </c>
      <c r="CA109" s="314" t="str">
        <f t="shared" si="240"/>
        <v/>
      </c>
      <c r="CB109" s="314"/>
      <c r="CC109" s="96" t="str">
        <f t="shared" si="241"/>
        <v/>
      </c>
    </row>
    <row r="110" spans="1:81" ht="15.75" thickBot="1" x14ac:dyDescent="0.3">
      <c r="A110" s="96">
        <v>102</v>
      </c>
      <c r="B110" s="96" t="s">
        <v>885</v>
      </c>
      <c r="D110" s="201"/>
      <c r="E110" s="202" t="s">
        <v>214</v>
      </c>
      <c r="F110" s="773">
        <f>F100+F103</f>
        <v>13</v>
      </c>
      <c r="G110" s="773">
        <f t="shared" ref="G110:R110" si="243">G100+G103</f>
        <v>13</v>
      </c>
      <c r="H110" s="773">
        <f t="shared" si="243"/>
        <v>13</v>
      </c>
      <c r="I110" s="773">
        <f t="shared" si="243"/>
        <v>13</v>
      </c>
      <c r="J110" s="773">
        <f t="shared" si="243"/>
        <v>13</v>
      </c>
      <c r="K110" s="773">
        <f t="shared" si="243"/>
        <v>13</v>
      </c>
      <c r="L110" s="773">
        <f t="shared" si="243"/>
        <v>13</v>
      </c>
      <c r="M110" s="773">
        <f t="shared" si="243"/>
        <v>13</v>
      </c>
      <c r="N110" s="773">
        <f t="shared" si="243"/>
        <v>13</v>
      </c>
      <c r="O110" s="773">
        <f t="shared" si="243"/>
        <v>13</v>
      </c>
      <c r="P110" s="773">
        <f t="shared" si="243"/>
        <v>13</v>
      </c>
      <c r="Q110" s="773">
        <f t="shared" ref="Q110" si="244">Q100+Q103</f>
        <v>13</v>
      </c>
      <c r="R110" s="773">
        <f t="shared" si="243"/>
        <v>13</v>
      </c>
      <c r="T110" s="226">
        <f>HLOOKUP($E$6,$F$9:$R$231,$A110,FALSE)</f>
        <v>13</v>
      </c>
      <c r="U110" s="204"/>
      <c r="V110" s="205"/>
      <c r="W110" s="205"/>
      <c r="X110" s="205"/>
      <c r="Y110" s="206"/>
      <c r="Z110" s="206"/>
      <c r="AA110" s="773">
        <f t="shared" ref="AA110:AG110" si="245">AA100+AA103</f>
        <v>0</v>
      </c>
      <c r="AB110" s="773">
        <f t="shared" si="245"/>
        <v>13</v>
      </c>
      <c r="AD110" s="208">
        <f t="shared" si="245"/>
        <v>0.1</v>
      </c>
      <c r="AE110" s="208">
        <f t="shared" si="245"/>
        <v>0</v>
      </c>
      <c r="AF110" s="208">
        <f t="shared" si="245"/>
        <v>0</v>
      </c>
      <c r="AG110" s="208">
        <f t="shared" si="245"/>
        <v>0</v>
      </c>
      <c r="AI110" s="78">
        <f t="shared" ref="AI110:AK110" si="246">AI100+AI103</f>
        <v>0</v>
      </c>
      <c r="AJ110" s="78">
        <f t="shared" si="246"/>
        <v>0</v>
      </c>
      <c r="AK110" s="78">
        <f t="shared" si="246"/>
        <v>0</v>
      </c>
      <c r="AM110" s="139"/>
      <c r="AN110" s="139"/>
      <c r="AO110" s="139"/>
      <c r="AP110" s="139"/>
      <c r="AQ110" s="139"/>
      <c r="AR110" s="139"/>
      <c r="AS110" s="139"/>
      <c r="AT110" s="139"/>
      <c r="AU110" s="139"/>
      <c r="AV110" s="139"/>
      <c r="AW110" s="139"/>
      <c r="AY110" s="97"/>
      <c r="AZ110" s="209"/>
      <c r="BA110" s="97"/>
      <c r="BB110" s="97"/>
      <c r="BC110" s="97"/>
      <c r="BW110" s="202"/>
      <c r="BX110" s="202" t="str">
        <f>IFERROR(VLOOKUP($E110,'Pre-Assessment Estimator'!$E$11:$AB$226,'Pre-Assessment Estimator'!AB$2,FALSE),"")</f>
        <v/>
      </c>
      <c r="BY110" s="202" t="str">
        <f>IFERROR(VLOOKUP($E110,'Pre-Assessment Estimator'!$E$11:$AI$226,'Pre-Assessment Estimator'!AI$2,FALSE),"")</f>
        <v/>
      </c>
      <c r="BZ110" s="202" t="str">
        <f t="shared" si="240"/>
        <v/>
      </c>
      <c r="CA110" s="202" t="str">
        <f t="shared" si="240"/>
        <v/>
      </c>
      <c r="CB110" s="202"/>
      <c r="CC110" s="96" t="str">
        <f t="shared" si="241"/>
        <v/>
      </c>
    </row>
    <row r="111" spans="1:81" ht="15.75" thickBot="1" x14ac:dyDescent="0.3">
      <c r="A111" s="96">
        <v>103</v>
      </c>
      <c r="AI111" s="3"/>
      <c r="AJ111" s="3"/>
      <c r="AK111" s="3"/>
      <c r="AM111" s="139"/>
      <c r="AN111" s="139"/>
      <c r="AO111" s="139"/>
      <c r="AP111" s="139"/>
      <c r="AQ111" s="139"/>
      <c r="AR111" s="139"/>
      <c r="AS111" s="139"/>
      <c r="AT111" s="139"/>
      <c r="AU111" s="139"/>
      <c r="AV111" s="139"/>
      <c r="AW111" s="139"/>
      <c r="AY111" s="97"/>
      <c r="AZ111" s="97"/>
      <c r="BA111" s="97"/>
      <c r="BB111" s="97"/>
      <c r="BC111" s="97"/>
      <c r="BX111" s="96" t="str">
        <f>IFERROR(VLOOKUP($E111,'Pre-Assessment Estimator'!$E$11:$AB$226,'Pre-Assessment Estimator'!AB$2,FALSE),"")</f>
        <v/>
      </c>
      <c r="BY111" s="96" t="str">
        <f>IFERROR(VLOOKUP($E111,'Pre-Assessment Estimator'!$E$11:$AI$226,'Pre-Assessment Estimator'!AI$2,FALSE),"")</f>
        <v/>
      </c>
      <c r="BZ111" s="96" t="str">
        <f t="shared" si="240"/>
        <v/>
      </c>
      <c r="CA111" s="96" t="str">
        <f t="shared" si="240"/>
        <v/>
      </c>
      <c r="CC111" s="96" t="str">
        <f t="shared" si="241"/>
        <v/>
      </c>
    </row>
    <row r="112" spans="1:81" ht="60.75" thickBot="1" x14ac:dyDescent="0.3">
      <c r="A112" s="96">
        <v>104</v>
      </c>
      <c r="D112" s="145"/>
      <c r="E112" s="146" t="s">
        <v>59</v>
      </c>
      <c r="F112" s="1241" t="str">
        <f>$F$9</f>
        <v>Office</v>
      </c>
      <c r="G112" s="1241" t="str">
        <f>$G$9</f>
        <v>Retail</v>
      </c>
      <c r="H112" s="1245" t="str">
        <f>$H$9</f>
        <v>Residential</v>
      </c>
      <c r="I112" s="1241" t="str">
        <f>$I$9</f>
        <v>Industrial</v>
      </c>
      <c r="J112" s="1243" t="str">
        <f>$J$9</f>
        <v>Healthcare</v>
      </c>
      <c r="K112" s="1243" t="str">
        <f>$K$9</f>
        <v>Prison</v>
      </c>
      <c r="L112" s="1243" t="str">
        <f>$L$9</f>
        <v>Law Court</v>
      </c>
      <c r="M112" s="1247" t="str">
        <f>$M$9</f>
        <v>Residential institution (long term stay)</v>
      </c>
      <c r="N112" s="918" t="str">
        <f>$N$9</f>
        <v>Residential institution (short term stay)</v>
      </c>
      <c r="O112" s="918" t="str">
        <f>$O$9</f>
        <v>Non-residential institution</v>
      </c>
      <c r="P112" s="918" t="str">
        <f>$P$9</f>
        <v>Assembly and leisure</v>
      </c>
      <c r="Q112" s="1243" t="str">
        <f>$Q$9</f>
        <v>Education</v>
      </c>
      <c r="R112" s="857" t="str">
        <f>$R$9</f>
        <v>Other</v>
      </c>
      <c r="T112" s="138" t="str">
        <f>$E$6</f>
        <v>Office</v>
      </c>
      <c r="U112" s="210"/>
      <c r="V112" s="211"/>
      <c r="W112" s="211"/>
      <c r="X112" s="211"/>
      <c r="Y112" s="1165" t="s">
        <v>412</v>
      </c>
      <c r="Z112" s="347" t="s">
        <v>335</v>
      </c>
      <c r="AA112" s="150" t="s">
        <v>214</v>
      </c>
      <c r="AB112" s="59" t="s">
        <v>15</v>
      </c>
      <c r="AI112" s="42"/>
      <c r="AJ112" s="60"/>
      <c r="AK112" s="60"/>
      <c r="AM112" s="139"/>
      <c r="AN112" s="139"/>
      <c r="AO112" s="139"/>
      <c r="AP112" s="139"/>
      <c r="AQ112" s="139"/>
      <c r="AR112" s="139"/>
      <c r="AS112" s="139"/>
      <c r="AT112" s="139"/>
      <c r="AU112" s="139"/>
      <c r="AV112" s="139"/>
      <c r="AW112" s="139"/>
      <c r="AY112" s="97"/>
      <c r="AZ112" s="97"/>
      <c r="BA112" s="97"/>
      <c r="BB112" s="97"/>
      <c r="BC112" s="97"/>
      <c r="BO112" s="60"/>
      <c r="BP112" s="60"/>
      <c r="BQ112" s="60"/>
      <c r="BR112" s="60"/>
      <c r="BS112" s="60"/>
      <c r="BT112" s="60"/>
      <c r="BW112" s="146"/>
      <c r="BX112" s="146" t="str">
        <f>E112</f>
        <v>Water</v>
      </c>
      <c r="BY112" s="146">
        <f>IFERROR(VLOOKUP($E112,'Pre-Assessment Estimator'!$E$11:$AI$226,'Pre-Assessment Estimator'!AI$2,FALSE),"")</f>
        <v>0</v>
      </c>
      <c r="BZ112" s="146" t="str">
        <f t="shared" si="240"/>
        <v/>
      </c>
      <c r="CA112" s="146" t="str">
        <f t="shared" si="240"/>
        <v/>
      </c>
      <c r="CB112" s="146"/>
      <c r="CC112" s="96" t="str">
        <f t="shared" si="241"/>
        <v/>
      </c>
    </row>
    <row r="113" spans="1:85" x14ac:dyDescent="0.25">
      <c r="A113" s="96">
        <v>105</v>
      </c>
      <c r="B113" s="137" t="str">
        <f>D113</f>
        <v>Wat 01</v>
      </c>
      <c r="C113" s="137" t="str">
        <f>B113</f>
        <v>Wat 01</v>
      </c>
      <c r="D113" s="833" t="s">
        <v>169</v>
      </c>
      <c r="E113" s="831" t="s">
        <v>152</v>
      </c>
      <c r="F113" s="933">
        <f>SUM(F114)</f>
        <v>5</v>
      </c>
      <c r="G113" s="933">
        <f t="shared" ref="G113:R113" si="247">SUM(G114)</f>
        <v>5</v>
      </c>
      <c r="H113" s="933">
        <f t="shared" si="247"/>
        <v>5</v>
      </c>
      <c r="I113" s="933">
        <f t="shared" si="247"/>
        <v>5</v>
      </c>
      <c r="J113" s="933">
        <f t="shared" si="247"/>
        <v>5</v>
      </c>
      <c r="K113" s="933">
        <f t="shared" si="247"/>
        <v>5</v>
      </c>
      <c r="L113" s="933">
        <f t="shared" si="247"/>
        <v>5</v>
      </c>
      <c r="M113" s="933">
        <f t="shared" si="247"/>
        <v>5</v>
      </c>
      <c r="N113" s="933">
        <f t="shared" si="247"/>
        <v>5</v>
      </c>
      <c r="O113" s="933">
        <f t="shared" si="247"/>
        <v>5</v>
      </c>
      <c r="P113" s="933">
        <f t="shared" si="247"/>
        <v>5</v>
      </c>
      <c r="Q113" s="933">
        <f t="shared" si="247"/>
        <v>5</v>
      </c>
      <c r="R113" s="933">
        <f t="shared" si="247"/>
        <v>5</v>
      </c>
      <c r="S113" s="97"/>
      <c r="T113" s="961">
        <f t="shared" ref="T113:T123" si="248">HLOOKUP($E$6,$F$9:$R$231,$A113,FALSE)</f>
        <v>5</v>
      </c>
      <c r="U113" s="222"/>
      <c r="V113" s="230"/>
      <c r="W113" s="230"/>
      <c r="X113" s="230">
        <f>'Manuell filtrering og justering'!E52</f>
        <v>0</v>
      </c>
      <c r="Y113" s="230"/>
      <c r="Z113" s="958">
        <f t="shared" ref="Z113" si="249">SUM(Z114)</f>
        <v>5</v>
      </c>
      <c r="AA113" s="963">
        <f t="shared" ref="AA113:AA122" si="250">IF(SUM(U113:Y113)&gt;T113,T113,SUM(U113:Y113))</f>
        <v>0</v>
      </c>
      <c r="AB113" s="920">
        <f>AB114</f>
        <v>5</v>
      </c>
      <c r="AD113" s="171">
        <f t="shared" ref="AD113:AD122" si="251">(Wat_Weight/Wat__Credits)*AB113</f>
        <v>2.2222222222222223E-2</v>
      </c>
      <c r="AE113" s="921">
        <f>SUM(AE114)</f>
        <v>0</v>
      </c>
      <c r="AF113" s="921">
        <f t="shared" ref="AF113:AG113" si="252">SUM(AF114)</f>
        <v>0</v>
      </c>
      <c r="AG113" s="921">
        <f t="shared" si="252"/>
        <v>0</v>
      </c>
      <c r="AI113" s="958">
        <f t="shared" ref="AI113" si="253">SUM(AI114)</f>
        <v>0</v>
      </c>
      <c r="AJ113" s="958">
        <f t="shared" ref="AJ113" si="254">SUM(AJ114)</f>
        <v>0</v>
      </c>
      <c r="AK113" s="958">
        <f t="shared" ref="AK113" si="255">SUM(AK114)</f>
        <v>0</v>
      </c>
      <c r="AM113" s="298"/>
      <c r="AN113" s="299"/>
      <c r="AO113" s="308"/>
      <c r="AP113" s="299"/>
      <c r="AQ113" s="300"/>
      <c r="AR113" s="139"/>
      <c r="AS113" s="298"/>
      <c r="AT113" s="299"/>
      <c r="AU113" s="299"/>
      <c r="AV113" s="299"/>
      <c r="AW113" s="300"/>
      <c r="AY113" s="218"/>
      <c r="AZ113" s="219"/>
      <c r="BA113" s="219"/>
      <c r="BB113" s="219"/>
      <c r="BC113" s="220"/>
      <c r="BD113" s="174">
        <f t="shared" si="60"/>
        <v>9</v>
      </c>
      <c r="BE113" s="164" t="str">
        <f t="shared" ref="BE113:BE122" si="256">VLOOKUP(BD113,$BO$284:$BT$290,6,FALSE)</f>
        <v>N/A</v>
      </c>
      <c r="BF113" s="178"/>
      <c r="BG113" s="174">
        <f>IF(BC113=0,9,IF(AJ113&gt;=BC113,5,IF(AJ113&gt;=BB113,4,IF(AJ113&gt;=BA113,3,IF(AJ113&gt;=AZ113,2,IF(AJ113&lt;AY113,0,1))))))</f>
        <v>9</v>
      </c>
      <c r="BH113" s="164" t="str">
        <f t="shared" ref="BH113:BH122" si="257">VLOOKUP(BG113,$BO$284:$BT$290,6,FALSE)</f>
        <v>N/A</v>
      </c>
      <c r="BI113" s="178"/>
      <c r="BJ113" s="174">
        <f t="shared" si="28"/>
        <v>9</v>
      </c>
      <c r="BK113" s="164" t="str">
        <f t="shared" ref="BK113:BK122" si="258">VLOOKUP(BJ113,$BO$284:$BT$290,6,FALSE)</f>
        <v>N/A</v>
      </c>
      <c r="BL113" s="178"/>
      <c r="BO113" s="167"/>
      <c r="BP113" s="167"/>
      <c r="BQ113" s="167" t="str">
        <f t="shared" si="157"/>
        <v/>
      </c>
      <c r="BR113" s="167">
        <f t="shared" si="198"/>
        <v>9</v>
      </c>
      <c r="BS113" s="167">
        <f t="shared" si="199"/>
        <v>9</v>
      </c>
      <c r="BT113" s="167">
        <f t="shared" si="200"/>
        <v>9</v>
      </c>
      <c r="BW113" s="164" t="str">
        <f>D113</f>
        <v>Wat 01</v>
      </c>
      <c r="BX113" s="164" t="str">
        <f>IFERROR(VLOOKUP($E113,'Pre-Assessment Estimator'!$E$11:$AB$226,'Pre-Assessment Estimator'!AB$2,FALSE),"")</f>
        <v>No</v>
      </c>
      <c r="BY113" s="164">
        <f>IFERROR(VLOOKUP($E113,'Pre-Assessment Estimator'!$E$11:$AI$226,'Pre-Assessment Estimator'!AI$2,FALSE),"")</f>
        <v>0</v>
      </c>
      <c r="BZ113" s="164">
        <f t="shared" si="240"/>
        <v>1</v>
      </c>
      <c r="CA113" s="164">
        <f t="shared" si="240"/>
        <v>0</v>
      </c>
      <c r="CB113" s="164"/>
      <c r="CC113" s="96" t="s">
        <v>430</v>
      </c>
    </row>
    <row r="114" spans="1:85" x14ac:dyDescent="0.25">
      <c r="A114" s="96">
        <v>106</v>
      </c>
      <c r="B114" s="96" t="str">
        <f t="shared" ref="B114" si="259">$D$113&amp;D114</f>
        <v>Wat 01a</v>
      </c>
      <c r="C114" s="96" t="str">
        <f t="shared" si="159"/>
        <v>Wat 01</v>
      </c>
      <c r="D114" s="163" t="s">
        <v>693</v>
      </c>
      <c r="E114" s="1123" t="s">
        <v>641</v>
      </c>
      <c r="F114" s="939">
        <v>5</v>
      </c>
      <c r="G114" s="939">
        <v>5</v>
      </c>
      <c r="H114" s="939">
        <v>5</v>
      </c>
      <c r="I114" s="939">
        <v>5</v>
      </c>
      <c r="J114" s="939">
        <v>5</v>
      </c>
      <c r="K114" s="939">
        <v>5</v>
      </c>
      <c r="L114" s="939">
        <v>5</v>
      </c>
      <c r="M114" s="939">
        <v>5</v>
      </c>
      <c r="N114" s="939">
        <v>5</v>
      </c>
      <c r="O114" s="939">
        <v>5</v>
      </c>
      <c r="P114" s="939">
        <v>5</v>
      </c>
      <c r="Q114" s="939">
        <v>5</v>
      </c>
      <c r="R114" s="939">
        <v>5</v>
      </c>
      <c r="S114" s="97"/>
      <c r="T114" s="221">
        <f t="shared" si="248"/>
        <v>5</v>
      </c>
      <c r="U114" s="166"/>
      <c r="V114" s="167"/>
      <c r="W114" s="167"/>
      <c r="X114" s="167"/>
      <c r="Y114" s="169">
        <f>IF($Y$4=$Y$6,T114,0)</f>
        <v>0</v>
      </c>
      <c r="Z114" s="168">
        <f>VLOOKUP(B114,'Manuell filtrering og justering'!$A$7:$H$253,'Manuell filtrering og justering'!$H$1,FALSE)</f>
        <v>5</v>
      </c>
      <c r="AA114" s="169">
        <f t="shared" si="250"/>
        <v>0</v>
      </c>
      <c r="AB114" s="170">
        <f>IF($AC$5='Manuell filtrering og justering'!$J$2,Z114,(T114-AA114))</f>
        <v>5</v>
      </c>
      <c r="AD114" s="171">
        <f t="shared" si="251"/>
        <v>2.2222222222222223E-2</v>
      </c>
      <c r="AE114" s="171">
        <f t="shared" ref="AE114:AE122" si="260">IF(AB114=0,0,(AD114/AB114)*AI114)</f>
        <v>0</v>
      </c>
      <c r="AF114" s="171">
        <f t="shared" ref="AF114:AF122" si="261">IF(AB114=0,0,(AD114/AB114)*AJ114)</f>
        <v>0</v>
      </c>
      <c r="AG114" s="171">
        <f t="shared" ref="AG114:AG122" si="262">IF(AB114=0,0,(AD114/AB114)*AK114)</f>
        <v>0</v>
      </c>
      <c r="AI114" s="172">
        <f>IF(VLOOKUP(E114,'Pre-Assessment Estimator'!$E$11:$Z$226,'Pre-Assessment Estimator'!$G$2,FALSE)&gt;AB114,AB114,VLOOKUP(E114,'Pre-Assessment Estimator'!$E$11:$Z$226,'Pre-Assessment Estimator'!$G$2,FALSE))</f>
        <v>0</v>
      </c>
      <c r="AJ114" s="172">
        <f>IF(VLOOKUP(E114,'Pre-Assessment Estimator'!$E$11:$Z$226,'Pre-Assessment Estimator'!$N$2,FALSE)&gt;AB114,AB114,VLOOKUP(E114,'Pre-Assessment Estimator'!$E$11:$Z$226,'Pre-Assessment Estimator'!$N$2,FALSE))</f>
        <v>0</v>
      </c>
      <c r="AK114" s="172">
        <f>IF(VLOOKUP(E114,'Pre-Assessment Estimator'!$E$11:$Z$226,'Pre-Assessment Estimator'!$U$2,FALSE)&gt;AB114,AB114,VLOOKUP(E114,'Pre-Assessment Estimator'!$E$11:$Z$226,'Pre-Assessment Estimator'!$U$2,FALSE))</f>
        <v>0</v>
      </c>
      <c r="AM114" s="835"/>
      <c r="AN114" s="836"/>
      <c r="AO114" s="849"/>
      <c r="AP114" s="1189">
        <f>IF(AND($Y$4&lt;&gt;$Y$3,Y114&gt;0),0,2)</f>
        <v>2</v>
      </c>
      <c r="AQ114" s="1191">
        <f>IF(AND($Y$4&lt;&gt;$Y$3,Y114&gt;0),0,2)</f>
        <v>2</v>
      </c>
      <c r="AR114" s="139"/>
      <c r="AS114" s="835"/>
      <c r="AT114" s="836"/>
      <c r="AU114" s="836"/>
      <c r="AV114" s="836">
        <v>2</v>
      </c>
      <c r="AW114" s="837">
        <v>2</v>
      </c>
      <c r="AY114" s="708"/>
      <c r="AZ114" s="709"/>
      <c r="BA114" s="709"/>
      <c r="BB114" s="183">
        <f>IF($AB114=0,0,IF($E$6=$H$9,AV114,AP114))</f>
        <v>2</v>
      </c>
      <c r="BC114" s="183">
        <f>IF($AB114=0,0,IF($E$6=$H$9,AW114,AQ114))</f>
        <v>2</v>
      </c>
      <c r="BD114" s="182">
        <f t="shared" ref="BD114" si="263">IF(BC114=0,9,IF(AI114&gt;=BC114,5,IF(AI114&gt;=BB114,4,IF(AI114&gt;=BA114,3,IF(AI114&gt;=AZ114,2,IF(AI114&lt;AY114,0,1))))))</f>
        <v>3</v>
      </c>
      <c r="BE114" s="164" t="str">
        <f t="shared" si="256"/>
        <v>Very Good</v>
      </c>
      <c r="BF114" s="185"/>
      <c r="BG114" s="182">
        <f>IF(BC114=0,9,IF(AJ114&gt;=BC114,5,IF(AJ114&gt;=BB114,4,IF(AJ114&gt;=BA114,3,IF(AJ114&gt;=AZ114,2,IF(AJ114&lt;AY114,0,1))))))</f>
        <v>3</v>
      </c>
      <c r="BH114" s="164" t="str">
        <f t="shared" si="257"/>
        <v>Very Good</v>
      </c>
      <c r="BI114" s="185"/>
      <c r="BJ114" s="182">
        <f t="shared" ref="BJ114" si="264">IF(BC114=0,9,IF(AK114&gt;=BC114,5,IF(AK114&gt;=BB114,4,IF(AK114&gt;=BA114,3,IF(AK114&gt;=AZ114,2,IF(AK114&lt;AY114,0,1))))))</f>
        <v>3</v>
      </c>
      <c r="BK114" s="164" t="str">
        <f t="shared" si="258"/>
        <v>Very Good</v>
      </c>
      <c r="BL114" s="830"/>
      <c r="BO114" s="167"/>
      <c r="BP114" s="1181">
        <f>2*0</f>
        <v>0</v>
      </c>
      <c r="BQ114" s="167">
        <f t="shared" si="157"/>
        <v>0</v>
      </c>
      <c r="BR114" s="167">
        <f t="shared" si="198"/>
        <v>5</v>
      </c>
      <c r="BS114" s="167">
        <f t="shared" si="199"/>
        <v>5</v>
      </c>
      <c r="BT114" s="167">
        <f t="shared" si="200"/>
        <v>5</v>
      </c>
      <c r="BW114" s="164"/>
      <c r="BX114" s="164"/>
      <c r="BY114" s="164"/>
      <c r="BZ114" s="164"/>
      <c r="CA114" s="99"/>
      <c r="CB114" s="164"/>
    </row>
    <row r="115" spans="1:85" x14ac:dyDescent="0.25">
      <c r="A115" s="96">
        <v>107</v>
      </c>
      <c r="B115" s="137" t="str">
        <f>D115</f>
        <v>Wat 02</v>
      </c>
      <c r="C115" s="137" t="str">
        <f>B115</f>
        <v>Wat 02</v>
      </c>
      <c r="D115" s="834" t="s">
        <v>170</v>
      </c>
      <c r="E115" s="832" t="s">
        <v>153</v>
      </c>
      <c r="F115" s="933">
        <f>SUM(F116)</f>
        <v>1</v>
      </c>
      <c r="G115" s="933">
        <f t="shared" ref="G115:R115" si="265">SUM(G116)</f>
        <v>1</v>
      </c>
      <c r="H115" s="933">
        <f t="shared" si="265"/>
        <v>1</v>
      </c>
      <c r="I115" s="933">
        <f t="shared" si="265"/>
        <v>1</v>
      </c>
      <c r="J115" s="933">
        <f t="shared" si="265"/>
        <v>1</v>
      </c>
      <c r="K115" s="933">
        <f t="shared" si="265"/>
        <v>1</v>
      </c>
      <c r="L115" s="933">
        <f t="shared" si="265"/>
        <v>1</v>
      </c>
      <c r="M115" s="933">
        <f t="shared" si="265"/>
        <v>1</v>
      </c>
      <c r="N115" s="933">
        <f t="shared" si="265"/>
        <v>1</v>
      </c>
      <c r="O115" s="933">
        <f t="shared" si="265"/>
        <v>1</v>
      </c>
      <c r="P115" s="933">
        <f t="shared" si="265"/>
        <v>1</v>
      </c>
      <c r="Q115" s="933">
        <f t="shared" si="265"/>
        <v>1</v>
      </c>
      <c r="R115" s="933">
        <f t="shared" si="265"/>
        <v>1</v>
      </c>
      <c r="T115" s="963">
        <f t="shared" si="248"/>
        <v>1</v>
      </c>
      <c r="U115" s="222"/>
      <c r="V115" s="230"/>
      <c r="W115" s="230"/>
      <c r="X115" s="230">
        <f>'Manuell filtrering og justering'!E53</f>
        <v>0</v>
      </c>
      <c r="Y115" s="230"/>
      <c r="Z115" s="958">
        <f t="shared" ref="Z115" si="266">SUM(Z116)</f>
        <v>1</v>
      </c>
      <c r="AA115" s="963">
        <f t="shared" si="250"/>
        <v>0</v>
      </c>
      <c r="AB115" s="920">
        <f>AB116</f>
        <v>1</v>
      </c>
      <c r="AD115" s="171">
        <f t="shared" si="251"/>
        <v>4.4444444444444444E-3</v>
      </c>
      <c r="AE115" s="921">
        <f>SUM(AE116)</f>
        <v>0</v>
      </c>
      <c r="AF115" s="921">
        <f t="shared" ref="AF115:AG115" si="267">SUM(AF116)</f>
        <v>0</v>
      </c>
      <c r="AG115" s="921">
        <f t="shared" si="267"/>
        <v>0</v>
      </c>
      <c r="AI115" s="958">
        <f t="shared" ref="AI115" si="268">SUM(AI116)</f>
        <v>0</v>
      </c>
      <c r="AJ115" s="958">
        <f t="shared" ref="AJ115" si="269">SUM(AJ116)</f>
        <v>0</v>
      </c>
      <c r="AK115" s="958">
        <f t="shared" ref="AK115" si="270">SUM(AK116)</f>
        <v>0</v>
      </c>
      <c r="AL115" s="96" t="s">
        <v>426</v>
      </c>
      <c r="AM115" s="292"/>
      <c r="AN115" s="293"/>
      <c r="AO115" s="293"/>
      <c r="AP115" s="293"/>
      <c r="AQ115" s="294"/>
      <c r="AR115" s="139"/>
      <c r="AS115" s="292"/>
      <c r="AT115" s="293"/>
      <c r="AU115" s="293"/>
      <c r="AV115" s="293"/>
      <c r="AW115" s="294"/>
      <c r="AY115" s="188"/>
      <c r="AZ115" s="189"/>
      <c r="BA115" s="189"/>
      <c r="BB115" s="189"/>
      <c r="BC115" s="190"/>
      <c r="BD115" s="182">
        <f t="shared" si="60"/>
        <v>9</v>
      </c>
      <c r="BE115" s="164" t="str">
        <f t="shared" si="256"/>
        <v>N/A</v>
      </c>
      <c r="BF115" s="185"/>
      <c r="BG115" s="182">
        <f>IF(BC115=0,9,IF(AJ115&gt;=BC115,5,IF(AJ115&gt;=BB115,4,IF(AJ115&gt;=BA115,3,IF(AJ115&gt;=AZ115,2,IF(AJ115&lt;AY115,0,1))))))</f>
        <v>9</v>
      </c>
      <c r="BH115" s="164" t="str">
        <f t="shared" si="257"/>
        <v>N/A</v>
      </c>
      <c r="BI115" s="185"/>
      <c r="BJ115" s="182">
        <f t="shared" si="28"/>
        <v>9</v>
      </c>
      <c r="BK115" s="164" t="str">
        <f t="shared" si="258"/>
        <v>N/A</v>
      </c>
      <c r="BL115" s="185"/>
      <c r="BO115" s="167"/>
      <c r="BP115" s="167"/>
      <c r="BQ115" s="167" t="str">
        <f t="shared" si="157"/>
        <v/>
      </c>
      <c r="BR115" s="167">
        <f t="shared" si="198"/>
        <v>9</v>
      </c>
      <c r="BS115" s="167">
        <f t="shared" si="199"/>
        <v>9</v>
      </c>
      <c r="BT115" s="167">
        <f t="shared" si="200"/>
        <v>9</v>
      </c>
      <c r="BW115" s="167" t="str">
        <f>D115</f>
        <v>Wat 02</v>
      </c>
      <c r="BX115" s="167" t="str">
        <f>IFERROR(VLOOKUP($E115,'Pre-Assessment Estimator'!$E$11:$AB$226,'Pre-Assessment Estimator'!AB$2,FALSE),"")</f>
        <v>No</v>
      </c>
      <c r="BY115" s="230" t="str">
        <f>IFERROR(VLOOKUP($E115,'Pre-Assessment Estimator'!$E$11:$AI$226,'Pre-Assessment Estimator'!AI$2,FALSE),"")</f>
        <v>Ja</v>
      </c>
      <c r="BZ115" s="167">
        <f>IFERROR(VLOOKUP($BX115,$E$293:$H$326,F$291,FALSE),"")</f>
        <v>1</v>
      </c>
      <c r="CA115" s="680" t="s">
        <v>431</v>
      </c>
      <c r="CB115" s="167"/>
      <c r="CC115" s="96" t="str">
        <f>IFERROR(VLOOKUP($BX115,$E$293:$H$326,I$291,FALSE),"")</f>
        <v/>
      </c>
      <c r="CD115" s="96" t="s">
        <v>437</v>
      </c>
      <c r="CE115" s="167">
        <f>VLOOKUP(CA115,$CA$4:$CB$5,2,FALSE)</f>
        <v>1</v>
      </c>
      <c r="CG115" s="681">
        <f>IF($BX$5=ais_nei,CE115,IF(AND(CA115=$CA$4,BX115=$CC$4),0,BZ115))</f>
        <v>1</v>
      </c>
    </row>
    <row r="116" spans="1:85" x14ac:dyDescent="0.25">
      <c r="A116" s="96">
        <v>108</v>
      </c>
      <c r="B116" s="96" t="str">
        <f t="shared" ref="B116" si="271">$D$115&amp;D116</f>
        <v>Wat 02a</v>
      </c>
      <c r="C116" s="96" t="str">
        <f t="shared" si="159"/>
        <v>Wat 02</v>
      </c>
      <c r="D116" s="166" t="s">
        <v>693</v>
      </c>
      <c r="E116" s="1123" t="s">
        <v>642</v>
      </c>
      <c r="F116" s="775">
        <v>1</v>
      </c>
      <c r="G116" s="775">
        <v>1</v>
      </c>
      <c r="H116" s="775">
        <v>1</v>
      </c>
      <c r="I116" s="775">
        <v>1</v>
      </c>
      <c r="J116" s="775">
        <v>1</v>
      </c>
      <c r="K116" s="775">
        <v>1</v>
      </c>
      <c r="L116" s="775">
        <v>1</v>
      </c>
      <c r="M116" s="775">
        <v>1</v>
      </c>
      <c r="N116" s="775">
        <v>1</v>
      </c>
      <c r="O116" s="775">
        <v>1</v>
      </c>
      <c r="P116" s="775">
        <v>1</v>
      </c>
      <c r="Q116" s="775">
        <v>1</v>
      </c>
      <c r="R116" s="775">
        <v>1</v>
      </c>
      <c r="T116" s="221">
        <f t="shared" si="248"/>
        <v>1</v>
      </c>
      <c r="U116" s="166"/>
      <c r="V116" s="167"/>
      <c r="W116" s="167"/>
      <c r="X116" s="167"/>
      <c r="Y116" s="168"/>
      <c r="Z116" s="168">
        <f>VLOOKUP(B116,'Manuell filtrering og justering'!$A$7:$H$253,'Manuell filtrering og justering'!$H$1,FALSE)</f>
        <v>1</v>
      </c>
      <c r="AA116" s="169">
        <f t="shared" si="250"/>
        <v>0</v>
      </c>
      <c r="AB116" s="170">
        <f>IF($AC$5='Manuell filtrering og justering'!$J$2,Z116,(T116-AA116))</f>
        <v>1</v>
      </c>
      <c r="AD116" s="171">
        <f t="shared" si="251"/>
        <v>4.4444444444444444E-3</v>
      </c>
      <c r="AE116" s="171">
        <f t="shared" si="260"/>
        <v>0</v>
      </c>
      <c r="AF116" s="171">
        <f t="shared" si="261"/>
        <v>0</v>
      </c>
      <c r="AG116" s="171">
        <f t="shared" si="262"/>
        <v>0</v>
      </c>
      <c r="AI116" s="172">
        <f>IF(VLOOKUP(E116,'Pre-Assessment Estimator'!$E$11:$Z$226,'Pre-Assessment Estimator'!$G$2,FALSE)&gt;AB116,AB116,VLOOKUP(E116,'Pre-Assessment Estimator'!$E$11:$Z$226,'Pre-Assessment Estimator'!$G$2,FALSE))</f>
        <v>0</v>
      </c>
      <c r="AJ116" s="172">
        <f>IF(VLOOKUP(E116,'Pre-Assessment Estimator'!$E$11:$Z$226,'Pre-Assessment Estimator'!$N$2,FALSE)&gt;AB116,AB116,VLOOKUP(E116,'Pre-Assessment Estimator'!$E$11:$Z$226,'Pre-Assessment Estimator'!$N$2,FALSE))</f>
        <v>0</v>
      </c>
      <c r="AK116" s="172">
        <f>IF(VLOOKUP(E116,'Pre-Assessment Estimator'!$E$11:$Z$226,'Pre-Assessment Estimator'!$U$2,FALSE)&gt;AB116,AB116,VLOOKUP(E116,'Pre-Assessment Estimator'!$E$11:$Z$226,'Pre-Assessment Estimator'!$U$2,FALSE))</f>
        <v>0</v>
      </c>
      <c r="AM116" s="292"/>
      <c r="AN116" s="293"/>
      <c r="AO116" s="293"/>
      <c r="AP116" s="293"/>
      <c r="AQ116" s="294"/>
      <c r="AR116" s="139"/>
      <c r="AS116" s="292"/>
      <c r="AT116" s="293"/>
      <c r="AU116" s="293"/>
      <c r="AV116" s="293"/>
      <c r="AW116" s="294"/>
      <c r="AY116" s="188"/>
      <c r="AZ116" s="189"/>
      <c r="BA116" s="189"/>
      <c r="BB116" s="189"/>
      <c r="BC116" s="190"/>
      <c r="BD116" s="182">
        <f t="shared" si="60"/>
        <v>9</v>
      </c>
      <c r="BE116" s="164" t="str">
        <f t="shared" si="256"/>
        <v>N/A</v>
      </c>
      <c r="BF116" s="185"/>
      <c r="BG116" s="182">
        <f t="shared" ref="BG116:BG120" si="272">IF(BC116=0,9,IF(AJ116&gt;=BC116,5,IF(AJ116&gt;=BB116,4,IF(AJ116&gt;=BA116,3,IF(AJ116&gt;=AZ116,2,IF(AJ116&lt;AY116,0,1))))))</f>
        <v>9</v>
      </c>
      <c r="BH116" s="164" t="str">
        <f t="shared" si="257"/>
        <v>N/A</v>
      </c>
      <c r="BI116" s="185"/>
      <c r="BJ116" s="182">
        <f t="shared" si="28"/>
        <v>9</v>
      </c>
      <c r="BK116" s="164" t="str">
        <f t="shared" si="258"/>
        <v>N/A</v>
      </c>
      <c r="BL116" s="185"/>
      <c r="BO116" s="167"/>
      <c r="BP116" s="167"/>
      <c r="BQ116" s="167" t="str">
        <f t="shared" si="157"/>
        <v/>
      </c>
      <c r="BR116" s="167">
        <f t="shared" si="198"/>
        <v>9</v>
      </c>
      <c r="BS116" s="167">
        <f t="shared" si="199"/>
        <v>9</v>
      </c>
      <c r="BT116" s="167">
        <f t="shared" si="200"/>
        <v>9</v>
      </c>
      <c r="BW116" s="167"/>
      <c r="BX116" s="167"/>
      <c r="BY116" s="230"/>
      <c r="BZ116" s="167"/>
      <c r="CA116" s="680"/>
      <c r="CB116" s="167"/>
      <c r="CE116" s="167"/>
      <c r="CG116" s="681"/>
    </row>
    <row r="117" spans="1:85" x14ac:dyDescent="0.25">
      <c r="A117" s="96">
        <v>109</v>
      </c>
      <c r="B117" s="137" t="str">
        <f>D117</f>
        <v>Wat 03</v>
      </c>
      <c r="C117" s="137" t="str">
        <f>B117</f>
        <v>Wat 03</v>
      </c>
      <c r="D117" s="834" t="s">
        <v>171</v>
      </c>
      <c r="E117" s="832" t="s">
        <v>154</v>
      </c>
      <c r="F117" s="933">
        <f>SUM(F118:F120)</f>
        <v>2</v>
      </c>
      <c r="G117" s="933">
        <f t="shared" ref="G117:R117" si="273">SUM(G118:G120)</f>
        <v>2</v>
      </c>
      <c r="H117" s="933">
        <f t="shared" si="273"/>
        <v>2</v>
      </c>
      <c r="I117" s="933">
        <f t="shared" si="273"/>
        <v>2</v>
      </c>
      <c r="J117" s="933">
        <f t="shared" si="273"/>
        <v>2</v>
      </c>
      <c r="K117" s="933">
        <f t="shared" si="273"/>
        <v>2</v>
      </c>
      <c r="L117" s="933">
        <f t="shared" si="273"/>
        <v>2</v>
      </c>
      <c r="M117" s="933">
        <f t="shared" si="273"/>
        <v>2</v>
      </c>
      <c r="N117" s="933">
        <f t="shared" si="273"/>
        <v>2</v>
      </c>
      <c r="O117" s="933">
        <f t="shared" si="273"/>
        <v>2</v>
      </c>
      <c r="P117" s="933">
        <f t="shared" si="273"/>
        <v>2</v>
      </c>
      <c r="Q117" s="933">
        <f t="shared" ref="Q117" si="274">SUM(Q118:Q120)</f>
        <v>2</v>
      </c>
      <c r="R117" s="933">
        <f t="shared" si="273"/>
        <v>2</v>
      </c>
      <c r="T117" s="963">
        <f t="shared" si="248"/>
        <v>2</v>
      </c>
      <c r="U117" s="222"/>
      <c r="V117" s="230"/>
      <c r="W117" s="230"/>
      <c r="X117" s="230">
        <f>'Manuell filtrering og justering'!E54</f>
        <v>0</v>
      </c>
      <c r="Y117" s="230"/>
      <c r="Z117" s="958">
        <f t="shared" ref="Z117" si="275">SUM(Z118:Z120)</f>
        <v>0</v>
      </c>
      <c r="AA117" s="963">
        <f t="shared" si="250"/>
        <v>0</v>
      </c>
      <c r="AB117" s="1066">
        <f>SUM(AB118:AB120)</f>
        <v>2</v>
      </c>
      <c r="AD117" s="171">
        <f t="shared" si="251"/>
        <v>8.8888888888888889E-3</v>
      </c>
      <c r="AE117" s="921">
        <f>SUM(AE118:AE120)</f>
        <v>0</v>
      </c>
      <c r="AF117" s="921">
        <f t="shared" ref="AF117:AG117" si="276">SUM(AF118:AF120)</f>
        <v>0</v>
      </c>
      <c r="AG117" s="921">
        <f t="shared" si="276"/>
        <v>0</v>
      </c>
      <c r="AI117" s="958">
        <f t="shared" ref="AI117" si="277">SUM(AI118:AI120)</f>
        <v>0</v>
      </c>
      <c r="AJ117" s="958">
        <f t="shared" ref="AJ117" si="278">SUM(AJ118:AJ120)</f>
        <v>0</v>
      </c>
      <c r="AK117" s="958">
        <f t="shared" ref="AK117" si="279">SUM(AK118:AK120)</f>
        <v>0</v>
      </c>
      <c r="AL117" s="96" t="s">
        <v>426</v>
      </c>
      <c r="AM117" s="292"/>
      <c r="AN117" s="293"/>
      <c r="AO117" s="293"/>
      <c r="AP117" s="293"/>
      <c r="AQ117" s="294"/>
      <c r="AR117" s="139"/>
      <c r="AS117" s="292"/>
      <c r="AT117" s="293"/>
      <c r="AU117" s="293"/>
      <c r="AV117" s="293"/>
      <c r="AW117" s="294"/>
      <c r="AY117" s="188"/>
      <c r="AZ117" s="189"/>
      <c r="BA117" s="189"/>
      <c r="BB117" s="189"/>
      <c r="BC117" s="190"/>
      <c r="BD117" s="182">
        <f t="shared" ref="BD117:BD120" si="280">IF(BC117=0,9,IF(AI117&gt;=BC117,5,IF(AI117&gt;=BB117,4,IF(AI117&gt;=BA117,3,IF(AI117&gt;=AZ117,2,IF(AI117&lt;AY117,0,1))))))</f>
        <v>9</v>
      </c>
      <c r="BE117" s="164" t="str">
        <f t="shared" si="256"/>
        <v>N/A</v>
      </c>
      <c r="BF117" s="185"/>
      <c r="BG117" s="182">
        <f t="shared" si="272"/>
        <v>9</v>
      </c>
      <c r="BH117" s="164" t="str">
        <f t="shared" si="257"/>
        <v>N/A</v>
      </c>
      <c r="BI117" s="185"/>
      <c r="BJ117" s="182">
        <f t="shared" ref="BJ117:BJ120" si="281">IF(BC117=0,9,IF(AK117&gt;=BC117,5,IF(AK117&gt;=BB117,4,IF(AK117&gt;=BA117,3,IF(AK117&gt;=AZ117,2,IF(AK117&lt;AY117,0,1))))))</f>
        <v>9</v>
      </c>
      <c r="BK117" s="164" t="str">
        <f t="shared" si="258"/>
        <v>N/A</v>
      </c>
      <c r="BL117" s="185"/>
      <c r="BO117" s="167"/>
      <c r="BP117" s="167"/>
      <c r="BQ117" s="167" t="str">
        <f t="shared" si="157"/>
        <v/>
      </c>
      <c r="BR117" s="167">
        <f t="shared" si="198"/>
        <v>9</v>
      </c>
      <c r="BS117" s="167">
        <f t="shared" si="199"/>
        <v>9</v>
      </c>
      <c r="BT117" s="167">
        <f t="shared" si="200"/>
        <v>9</v>
      </c>
      <c r="BW117" s="167" t="str">
        <f>D117</f>
        <v>Wat 03</v>
      </c>
      <c r="BX117" s="167" t="str">
        <f>IFERROR(VLOOKUP($E117,'Pre-Assessment Estimator'!$E$11:$AB$226,'Pre-Assessment Estimator'!AB$2,FALSE),"")</f>
        <v>No</v>
      </c>
      <c r="BY117" s="230" t="str">
        <f>IFERROR(VLOOKUP($E117,'Pre-Assessment Estimator'!$E$11:$AI$226,'Pre-Assessment Estimator'!AI$2,FALSE),"")</f>
        <v>Ja</v>
      </c>
      <c r="BZ117" s="167">
        <f>IFERROR(VLOOKUP($BX117,$E$293:$H$326,F$291,FALSE),"")</f>
        <v>1</v>
      </c>
      <c r="CA117" s="672" t="s">
        <v>429</v>
      </c>
      <c r="CB117" s="167">
        <f>H312</f>
        <v>1</v>
      </c>
      <c r="CC117" s="96" t="str">
        <f>IFERROR(VLOOKUP($BX117,$E$293:$H$326,I$291,FALSE),"")</f>
        <v/>
      </c>
      <c r="CD117" s="96" t="s">
        <v>404</v>
      </c>
      <c r="CE117" s="167">
        <f>VLOOKUP(CA117,$CA$4:$CB$5,2,FALSE)</f>
        <v>0</v>
      </c>
      <c r="CG117" s="681">
        <f>IF($BX$5=ais_nei,CE117,IF(AND(CA117=$CA$4,BX117=$CC$4),0,BZ117))</f>
        <v>0</v>
      </c>
    </row>
    <row r="118" spans="1:85" x14ac:dyDescent="0.25">
      <c r="A118" s="96">
        <v>110</v>
      </c>
      <c r="B118" s="96" t="str">
        <f t="shared" ref="B118:B120" si="282">$D$117&amp;D118</f>
        <v>Wat 03a</v>
      </c>
      <c r="C118" s="96" t="str">
        <f t="shared" si="159"/>
        <v>Wat 03</v>
      </c>
      <c r="D118" s="163" t="s">
        <v>693</v>
      </c>
      <c r="E118" s="1123" t="s">
        <v>643</v>
      </c>
      <c r="F118" s="775">
        <v>1</v>
      </c>
      <c r="G118" s="775">
        <v>1</v>
      </c>
      <c r="H118" s="775">
        <v>1</v>
      </c>
      <c r="I118" s="775">
        <v>1</v>
      </c>
      <c r="J118" s="775">
        <v>1</v>
      </c>
      <c r="K118" s="775">
        <v>1</v>
      </c>
      <c r="L118" s="775">
        <v>1</v>
      </c>
      <c r="M118" s="775">
        <v>1</v>
      </c>
      <c r="N118" s="775">
        <v>1</v>
      </c>
      <c r="O118" s="775">
        <v>1</v>
      </c>
      <c r="P118" s="775">
        <v>1</v>
      </c>
      <c r="Q118" s="775">
        <v>1</v>
      </c>
      <c r="R118" s="775">
        <v>1</v>
      </c>
      <c r="S118" s="97"/>
      <c r="T118" s="221">
        <f t="shared" si="248"/>
        <v>1</v>
      </c>
      <c r="U118" s="222">
        <f>IF(AND(ADBT0=ADBT12,OR('Assessment Details'!F6='Assessment Details'!V6,'Assessment Details'!F6='Assessment Details'!V7)),Poeng!T118,0)</f>
        <v>0</v>
      </c>
      <c r="V118" s="167"/>
      <c r="W118" s="167"/>
      <c r="X118" s="167"/>
      <c r="Y118" s="168"/>
      <c r="Z118" s="168">
        <f>VLOOKUP(B118,'Manuell filtrering og justering'!$A$7:$H$253,'Manuell filtrering og justering'!$H$1,FALSE)</f>
        <v>0</v>
      </c>
      <c r="AA118" s="169">
        <f t="shared" si="250"/>
        <v>0</v>
      </c>
      <c r="AB118" s="170">
        <f>IF($AC$5='Manuell filtrering og justering'!$J$2,Z118,(T118-AA118))</f>
        <v>1</v>
      </c>
      <c r="AD118" s="171">
        <f t="shared" si="251"/>
        <v>4.4444444444444444E-3</v>
      </c>
      <c r="AE118" s="171">
        <f t="shared" si="260"/>
        <v>0</v>
      </c>
      <c r="AF118" s="171">
        <f t="shared" si="261"/>
        <v>0</v>
      </c>
      <c r="AG118" s="171">
        <f t="shared" si="262"/>
        <v>0</v>
      </c>
      <c r="AI118" s="172">
        <f>IF(VLOOKUP(E118,'Pre-Assessment Estimator'!$E$11:$Z$226,'Pre-Assessment Estimator'!$G$2,FALSE)&gt;AB118,AB118,VLOOKUP(E118,'Pre-Assessment Estimator'!$E$11:$Z$226,'Pre-Assessment Estimator'!$G$2,FALSE))</f>
        <v>0</v>
      </c>
      <c r="AJ118" s="172">
        <f>IF(VLOOKUP(E118,'Pre-Assessment Estimator'!$E$11:$Z$226,'Pre-Assessment Estimator'!$N$2,FALSE)&gt;AB118,AB118,VLOOKUP(E118,'Pre-Assessment Estimator'!$E$11:$Z$226,'Pre-Assessment Estimator'!$N$2,FALSE))</f>
        <v>0</v>
      </c>
      <c r="AK118" s="172">
        <f>IF(VLOOKUP(E118,'Pre-Assessment Estimator'!$E$11:$Z$226,'Pre-Assessment Estimator'!$U$2,FALSE)&gt;AB118,AB118,VLOOKUP(E118,'Pre-Assessment Estimator'!$E$11:$Z$226,'Pre-Assessment Estimator'!$U$2,FALSE))</f>
        <v>0</v>
      </c>
      <c r="AM118" s="850"/>
      <c r="AN118" s="851"/>
      <c r="AO118" s="851"/>
      <c r="AP118" s="851"/>
      <c r="AQ118" s="843"/>
      <c r="AR118" s="139"/>
      <c r="AS118" s="850"/>
      <c r="AT118" s="851"/>
      <c r="AU118" s="851"/>
      <c r="AV118" s="851"/>
      <c r="AW118" s="843"/>
      <c r="AY118" s="731"/>
      <c r="AZ118" s="733"/>
      <c r="BA118" s="733"/>
      <c r="BB118" s="733"/>
      <c r="BC118" s="852"/>
      <c r="BD118" s="182">
        <f t="shared" si="280"/>
        <v>9</v>
      </c>
      <c r="BE118" s="164" t="str">
        <f t="shared" si="256"/>
        <v>N/A</v>
      </c>
      <c r="BF118" s="185"/>
      <c r="BG118" s="182">
        <f t="shared" si="272"/>
        <v>9</v>
      </c>
      <c r="BH118" s="164" t="str">
        <f t="shared" si="257"/>
        <v>N/A</v>
      </c>
      <c r="BI118" s="185"/>
      <c r="BJ118" s="182">
        <f t="shared" si="281"/>
        <v>9</v>
      </c>
      <c r="BK118" s="164" t="str">
        <f t="shared" si="258"/>
        <v>N/A</v>
      </c>
      <c r="BL118" s="847"/>
      <c r="BO118" s="167"/>
      <c r="BP118" s="167"/>
      <c r="BQ118" s="167" t="str">
        <f t="shared" si="157"/>
        <v/>
      </c>
      <c r="BR118" s="167">
        <f t="shared" si="198"/>
        <v>9</v>
      </c>
      <c r="BS118" s="167">
        <f t="shared" si="199"/>
        <v>9</v>
      </c>
      <c r="BT118" s="167">
        <f t="shared" si="200"/>
        <v>9</v>
      </c>
      <c r="BW118" s="167"/>
      <c r="BX118" s="167"/>
      <c r="BY118" s="230"/>
      <c r="BZ118" s="167"/>
      <c r="CA118" s="672"/>
      <c r="CB118" s="167"/>
      <c r="CE118" s="99"/>
      <c r="CG118" s="681"/>
    </row>
    <row r="119" spans="1:85" x14ac:dyDescent="0.25">
      <c r="A119" s="96">
        <v>111</v>
      </c>
      <c r="B119" s="96" t="str">
        <f t="shared" si="282"/>
        <v>Wat 03b</v>
      </c>
      <c r="C119" s="96" t="str">
        <f t="shared" si="159"/>
        <v>Wat 03</v>
      </c>
      <c r="D119" s="163" t="s">
        <v>696</v>
      </c>
      <c r="E119" s="1123" t="s">
        <v>919</v>
      </c>
      <c r="F119" s="775">
        <v>1</v>
      </c>
      <c r="G119" s="775">
        <v>1</v>
      </c>
      <c r="H119" s="1022">
        <v>0</v>
      </c>
      <c r="I119" s="775">
        <v>1</v>
      </c>
      <c r="J119" s="775">
        <v>1</v>
      </c>
      <c r="K119" s="775">
        <v>1</v>
      </c>
      <c r="L119" s="775">
        <v>1</v>
      </c>
      <c r="M119" s="775">
        <v>1</v>
      </c>
      <c r="N119" s="775">
        <v>1</v>
      </c>
      <c r="O119" s="775">
        <v>1</v>
      </c>
      <c r="P119" s="775">
        <v>1</v>
      </c>
      <c r="Q119" s="775">
        <v>1</v>
      </c>
      <c r="R119" s="775">
        <v>1</v>
      </c>
      <c r="S119" s="97"/>
      <c r="T119" s="221">
        <f t="shared" si="248"/>
        <v>1</v>
      </c>
      <c r="U119" s="222">
        <f>IF(AND('Assessment Details'!I15=1,AD_heat='Assessment Details'!R22),Poeng!T119,0)</f>
        <v>0</v>
      </c>
      <c r="V119" s="167"/>
      <c r="W119" s="167"/>
      <c r="X119" s="167"/>
      <c r="Y119" s="169">
        <f>IF($Y$4=$Y$6,T119,0)</f>
        <v>0</v>
      </c>
      <c r="Z119" s="168">
        <f>VLOOKUP(B119,'Manuell filtrering og justering'!$A$7:$H$253,'Manuell filtrering og justering'!$H$1,FALSE)</f>
        <v>0</v>
      </c>
      <c r="AA119" s="169">
        <f t="shared" si="250"/>
        <v>0</v>
      </c>
      <c r="AB119" s="170">
        <f>IF($AC$5='Manuell filtrering og justering'!$J$2,Z119,(T119-AA119))</f>
        <v>1</v>
      </c>
      <c r="AD119" s="171">
        <f t="shared" si="251"/>
        <v>4.4444444444444444E-3</v>
      </c>
      <c r="AE119" s="171">
        <f t="shared" si="260"/>
        <v>0</v>
      </c>
      <c r="AF119" s="171">
        <f t="shared" si="261"/>
        <v>0</v>
      </c>
      <c r="AG119" s="171">
        <f t="shared" si="262"/>
        <v>0</v>
      </c>
      <c r="AI119" s="172">
        <f>IF(VLOOKUP(E119,'Pre-Assessment Estimator'!$E$11:$Z$226,'Pre-Assessment Estimator'!$G$2,FALSE)&gt;AB119,AB119,VLOOKUP(E119,'Pre-Assessment Estimator'!$E$11:$Z$226,'Pre-Assessment Estimator'!$G$2,FALSE))</f>
        <v>0</v>
      </c>
      <c r="AJ119" s="172">
        <f>IF(VLOOKUP(E119,'Pre-Assessment Estimator'!$E$11:$Z$226,'Pre-Assessment Estimator'!$N$2,FALSE)&gt;AB119,AB119,VLOOKUP(E119,'Pre-Assessment Estimator'!$E$11:$Z$226,'Pre-Assessment Estimator'!$N$2,FALSE))</f>
        <v>0</v>
      </c>
      <c r="AK119" s="172">
        <f>IF(VLOOKUP(E119,'Pre-Assessment Estimator'!$E$11:$Z$226,'Pre-Assessment Estimator'!$U$2,FALSE)&gt;AB119,AB119,VLOOKUP(E119,'Pre-Assessment Estimator'!$E$11:$Z$226,'Pre-Assessment Estimator'!$U$2,FALSE))</f>
        <v>0</v>
      </c>
      <c r="AM119" s="850"/>
      <c r="AN119" s="851"/>
      <c r="AO119" s="851"/>
      <c r="AP119" s="851"/>
      <c r="AQ119" s="843"/>
      <c r="AR119" s="139"/>
      <c r="AS119" s="850"/>
      <c r="AT119" s="851"/>
      <c r="AU119" s="851"/>
      <c r="AV119" s="851"/>
      <c r="AW119" s="843"/>
      <c r="AY119" s="731"/>
      <c r="AZ119" s="733"/>
      <c r="BA119" s="733"/>
      <c r="BB119" s="733"/>
      <c r="BC119" s="852"/>
      <c r="BD119" s="182">
        <f t="shared" si="280"/>
        <v>9</v>
      </c>
      <c r="BE119" s="164" t="str">
        <f t="shared" si="256"/>
        <v>N/A</v>
      </c>
      <c r="BF119" s="185"/>
      <c r="BG119" s="182">
        <f t="shared" si="272"/>
        <v>9</v>
      </c>
      <c r="BH119" s="164" t="str">
        <f t="shared" si="257"/>
        <v>N/A</v>
      </c>
      <c r="BI119" s="185"/>
      <c r="BJ119" s="182">
        <f t="shared" si="281"/>
        <v>9</v>
      </c>
      <c r="BK119" s="164" t="str">
        <f t="shared" si="258"/>
        <v>N/A</v>
      </c>
      <c r="BL119" s="847"/>
      <c r="BO119" s="167"/>
      <c r="BP119" s="167"/>
      <c r="BQ119" s="167" t="str">
        <f t="shared" si="157"/>
        <v/>
      </c>
      <c r="BR119" s="167">
        <f t="shared" si="198"/>
        <v>9</v>
      </c>
      <c r="BS119" s="167">
        <f t="shared" si="199"/>
        <v>9</v>
      </c>
      <c r="BT119" s="167">
        <f t="shared" si="200"/>
        <v>9</v>
      </c>
      <c r="BW119" s="167"/>
      <c r="BX119" s="167"/>
      <c r="BY119" s="230"/>
      <c r="BZ119" s="167"/>
      <c r="CA119" s="672"/>
      <c r="CB119" s="167"/>
      <c r="CE119" s="99"/>
      <c r="CG119" s="681"/>
    </row>
    <row r="120" spans="1:85" x14ac:dyDescent="0.25">
      <c r="A120" s="96">
        <v>112</v>
      </c>
      <c r="B120" s="96" t="str">
        <f t="shared" si="282"/>
        <v>Wat 03c</v>
      </c>
      <c r="C120" s="96" t="str">
        <f t="shared" si="159"/>
        <v>Wat 03</v>
      </c>
      <c r="D120" s="166" t="s">
        <v>697</v>
      </c>
      <c r="E120" s="1123" t="s">
        <v>645</v>
      </c>
      <c r="F120" s="775">
        <v>0</v>
      </c>
      <c r="G120" s="775">
        <v>0</v>
      </c>
      <c r="H120" s="1022">
        <v>1</v>
      </c>
      <c r="I120" s="775">
        <v>0</v>
      </c>
      <c r="J120" s="775">
        <v>0</v>
      </c>
      <c r="K120" s="775">
        <v>0</v>
      </c>
      <c r="L120" s="775">
        <v>0</v>
      </c>
      <c r="M120" s="775">
        <v>0</v>
      </c>
      <c r="N120" s="775">
        <v>0</v>
      </c>
      <c r="O120" s="775">
        <v>0</v>
      </c>
      <c r="P120" s="775">
        <v>0</v>
      </c>
      <c r="Q120" s="775">
        <v>0</v>
      </c>
      <c r="R120" s="775">
        <v>0</v>
      </c>
      <c r="S120" s="97"/>
      <c r="T120" s="221">
        <f t="shared" si="248"/>
        <v>0</v>
      </c>
      <c r="U120" s="166"/>
      <c r="V120" s="167"/>
      <c r="W120" s="167"/>
      <c r="X120" s="167"/>
      <c r="Y120" s="168"/>
      <c r="Z120" s="168">
        <f>VLOOKUP(B120,'Manuell filtrering og justering'!$A$7:$H$253,'Manuell filtrering og justering'!$H$1,FALSE)</f>
        <v>0</v>
      </c>
      <c r="AA120" s="169">
        <f t="shared" si="250"/>
        <v>0</v>
      </c>
      <c r="AB120" s="170">
        <f>IF($AC$5='Manuell filtrering og justering'!$J$2,Z120,(T120-AA120))</f>
        <v>0</v>
      </c>
      <c r="AD120" s="171">
        <f t="shared" si="251"/>
        <v>0</v>
      </c>
      <c r="AE120" s="171">
        <f t="shared" si="260"/>
        <v>0</v>
      </c>
      <c r="AF120" s="171">
        <f t="shared" si="261"/>
        <v>0</v>
      </c>
      <c r="AG120" s="171">
        <f t="shared" si="262"/>
        <v>0</v>
      </c>
      <c r="AI120" s="172">
        <f>IF(VLOOKUP(E120,'Pre-Assessment Estimator'!$E$11:$Z$226,'Pre-Assessment Estimator'!$G$2,FALSE)&gt;AB120,AB120,VLOOKUP(E120,'Pre-Assessment Estimator'!$E$11:$Z$226,'Pre-Assessment Estimator'!$G$2,FALSE))</f>
        <v>0</v>
      </c>
      <c r="AJ120" s="172">
        <f>IF(VLOOKUP(E120,'Pre-Assessment Estimator'!$E$11:$Z$226,'Pre-Assessment Estimator'!$N$2,FALSE)&gt;AB120,AB120,VLOOKUP(E120,'Pre-Assessment Estimator'!$E$11:$Z$226,'Pre-Assessment Estimator'!$N$2,FALSE))</f>
        <v>0</v>
      </c>
      <c r="AK120" s="172">
        <f>IF(VLOOKUP(E120,'Pre-Assessment Estimator'!$E$11:$Z$226,'Pre-Assessment Estimator'!$U$2,FALSE)&gt;AB120,AB120,VLOOKUP(E120,'Pre-Assessment Estimator'!$E$11:$Z$226,'Pre-Assessment Estimator'!$U$2,FALSE))</f>
        <v>0</v>
      </c>
      <c r="AM120" s="850"/>
      <c r="AN120" s="851"/>
      <c r="AO120" s="851"/>
      <c r="AP120" s="851"/>
      <c r="AQ120" s="843"/>
      <c r="AR120" s="139"/>
      <c r="AS120" s="850"/>
      <c r="AT120" s="851"/>
      <c r="AU120" s="851"/>
      <c r="AV120" s="851"/>
      <c r="AW120" s="843"/>
      <c r="AY120" s="731"/>
      <c r="AZ120" s="733"/>
      <c r="BA120" s="733"/>
      <c r="BB120" s="733"/>
      <c r="BC120" s="852"/>
      <c r="BD120" s="182">
        <f t="shared" si="280"/>
        <v>9</v>
      </c>
      <c r="BE120" s="164" t="str">
        <f t="shared" si="256"/>
        <v>N/A</v>
      </c>
      <c r="BF120" s="185"/>
      <c r="BG120" s="182">
        <f t="shared" si="272"/>
        <v>9</v>
      </c>
      <c r="BH120" s="164" t="str">
        <f t="shared" si="257"/>
        <v>N/A</v>
      </c>
      <c r="BI120" s="185"/>
      <c r="BJ120" s="182">
        <f t="shared" si="281"/>
        <v>9</v>
      </c>
      <c r="BK120" s="164" t="str">
        <f t="shared" si="258"/>
        <v>N/A</v>
      </c>
      <c r="BL120" s="847"/>
      <c r="BO120" s="167"/>
      <c r="BP120" s="167"/>
      <c r="BQ120" s="167" t="str">
        <f t="shared" si="157"/>
        <v/>
      </c>
      <c r="BR120" s="167">
        <f t="shared" si="198"/>
        <v>9</v>
      </c>
      <c r="BS120" s="167">
        <f t="shared" si="199"/>
        <v>9</v>
      </c>
      <c r="BT120" s="167">
        <f t="shared" si="200"/>
        <v>9</v>
      </c>
      <c r="BW120" s="167"/>
      <c r="BX120" s="167"/>
      <c r="BY120" s="230"/>
      <c r="BZ120" s="167"/>
      <c r="CA120" s="672"/>
      <c r="CB120" s="167"/>
      <c r="CE120" s="99"/>
      <c r="CG120" s="681"/>
    </row>
    <row r="121" spans="1:85" ht="15.75" thickBot="1" x14ac:dyDescent="0.3">
      <c r="A121" s="96">
        <v>113</v>
      </c>
      <c r="B121" s="137" t="str">
        <f>D121</f>
        <v>Wat 04</v>
      </c>
      <c r="C121" s="137" t="str">
        <f>B121</f>
        <v>Wat 04</v>
      </c>
      <c r="D121" s="834" t="s">
        <v>172</v>
      </c>
      <c r="E121" s="832" t="s">
        <v>155</v>
      </c>
      <c r="F121" s="933">
        <f>SUM(F122)</f>
        <v>1</v>
      </c>
      <c r="G121" s="933">
        <f t="shared" ref="G121:R121" si="283">SUM(G122)</f>
        <v>1</v>
      </c>
      <c r="H121" s="933">
        <f t="shared" si="283"/>
        <v>1</v>
      </c>
      <c r="I121" s="933">
        <f t="shared" si="283"/>
        <v>1</v>
      </c>
      <c r="J121" s="933">
        <f t="shared" si="283"/>
        <v>1</v>
      </c>
      <c r="K121" s="933">
        <f t="shared" si="283"/>
        <v>1</v>
      </c>
      <c r="L121" s="933">
        <f t="shared" si="283"/>
        <v>1</v>
      </c>
      <c r="M121" s="933">
        <f t="shared" si="283"/>
        <v>1</v>
      </c>
      <c r="N121" s="933">
        <f t="shared" si="283"/>
        <v>1</v>
      </c>
      <c r="O121" s="933">
        <f t="shared" si="283"/>
        <v>1</v>
      </c>
      <c r="P121" s="933">
        <f t="shared" si="283"/>
        <v>1</v>
      </c>
      <c r="Q121" s="933">
        <f t="shared" si="283"/>
        <v>1</v>
      </c>
      <c r="R121" s="933">
        <f t="shared" si="283"/>
        <v>1</v>
      </c>
      <c r="T121" s="963">
        <f t="shared" si="248"/>
        <v>1</v>
      </c>
      <c r="U121" s="222">
        <f>U122</f>
        <v>0</v>
      </c>
      <c r="V121" s="230"/>
      <c r="W121" s="230"/>
      <c r="X121" s="230">
        <f>'Manuell filtrering og justering'!E55</f>
        <v>0</v>
      </c>
      <c r="Y121" s="230"/>
      <c r="Z121" s="958">
        <f t="shared" ref="Z121" si="284">SUM(Z122)</f>
        <v>1</v>
      </c>
      <c r="AA121" s="963">
        <f t="shared" si="250"/>
        <v>0</v>
      </c>
      <c r="AB121" s="920">
        <f>AB122</f>
        <v>1</v>
      </c>
      <c r="AD121" s="171">
        <f t="shared" si="251"/>
        <v>4.4444444444444444E-3</v>
      </c>
      <c r="AE121" s="921">
        <f>SUM(AE122)</f>
        <v>0</v>
      </c>
      <c r="AF121" s="921">
        <f t="shared" ref="AF121:AG121" si="285">SUM(AF122)</f>
        <v>0</v>
      </c>
      <c r="AG121" s="921">
        <f t="shared" si="285"/>
        <v>0</v>
      </c>
      <c r="AI121" s="958">
        <f t="shared" ref="AI121" si="286">SUM(AI122)</f>
        <v>0</v>
      </c>
      <c r="AJ121" s="958">
        <f t="shared" ref="AJ121" si="287">SUM(AJ122)</f>
        <v>0</v>
      </c>
      <c r="AK121" s="958">
        <f t="shared" ref="AK121" si="288">SUM(AK122)</f>
        <v>0</v>
      </c>
      <c r="AM121" s="295"/>
      <c r="AN121" s="296"/>
      <c r="AO121" s="296"/>
      <c r="AP121" s="296"/>
      <c r="AQ121" s="297"/>
      <c r="AR121" s="139"/>
      <c r="AS121" s="295"/>
      <c r="AT121" s="296"/>
      <c r="AU121" s="296"/>
      <c r="AV121" s="296"/>
      <c r="AW121" s="297"/>
      <c r="AY121" s="194"/>
      <c r="AZ121" s="196"/>
      <c r="BA121" s="196"/>
      <c r="BB121" s="196"/>
      <c r="BC121" s="197"/>
      <c r="BD121" s="198">
        <f t="shared" si="60"/>
        <v>9</v>
      </c>
      <c r="BE121" s="164" t="str">
        <f t="shared" si="256"/>
        <v>N/A</v>
      </c>
      <c r="BF121" s="200"/>
      <c r="BG121" s="198">
        <f>IF(BC121=0,9,IF(AJ121&gt;=BC121,5,IF(AJ121&gt;=BB121,4,IF(AJ121&gt;=BA121,3,IF(AJ121&gt;=AZ121,2,IF(AJ121&lt;AY121,0,1))))))</f>
        <v>9</v>
      </c>
      <c r="BH121" s="164" t="str">
        <f t="shared" si="257"/>
        <v>N/A</v>
      </c>
      <c r="BI121" s="200"/>
      <c r="BJ121" s="198">
        <f t="shared" si="28"/>
        <v>9</v>
      </c>
      <c r="BK121" s="164" t="str">
        <f t="shared" si="258"/>
        <v>N/A</v>
      </c>
      <c r="BL121" s="200"/>
      <c r="BO121" s="167"/>
      <c r="BP121" s="167"/>
      <c r="BQ121" s="167" t="str">
        <f t="shared" si="157"/>
        <v/>
      </c>
      <c r="BR121" s="167">
        <f t="shared" si="198"/>
        <v>9</v>
      </c>
      <c r="BS121" s="167">
        <f t="shared" si="199"/>
        <v>9</v>
      </c>
      <c r="BT121" s="167">
        <f t="shared" si="200"/>
        <v>9</v>
      </c>
      <c r="BW121" s="167" t="str">
        <f>D121</f>
        <v>Wat 04</v>
      </c>
      <c r="BX121" s="167" t="str">
        <f>IFERROR(VLOOKUP($E121,'Pre-Assessment Estimator'!$E$11:$AB$226,'Pre-Assessment Estimator'!AB$2,FALSE),"")</f>
        <v>N/A</v>
      </c>
      <c r="BY121" s="167">
        <f>IFERROR(VLOOKUP($E121,'Pre-Assessment Estimator'!$E$11:$AI$226,'Pre-Assessment Estimator'!AI$2,FALSE),"")</f>
        <v>0</v>
      </c>
      <c r="BZ121" s="167">
        <f>IFERROR(VLOOKUP($BX121,$E$293:$H$326,F$291,FALSE),"")</f>
        <v>1</v>
      </c>
      <c r="CA121" s="167">
        <f>IFERROR(VLOOKUP($BX121,$E$293:$H$326,G$291,FALSE),"")</f>
        <v>0</v>
      </c>
      <c r="CB121" s="167"/>
      <c r="CC121" s="96" t="str">
        <f>IFERROR(VLOOKUP($BX121,$E$293:$H$326,I$291,FALSE),"")</f>
        <v/>
      </c>
    </row>
    <row r="122" spans="1:85" ht="15.75" thickBot="1" x14ac:dyDescent="0.3">
      <c r="A122" s="96">
        <v>114</v>
      </c>
      <c r="B122" s="96" t="str">
        <f>$D$121&amp;D122</f>
        <v>Wat 04a</v>
      </c>
      <c r="C122" s="96" t="str">
        <f t="shared" si="159"/>
        <v>Wat 04</v>
      </c>
      <c r="D122" s="231" t="s">
        <v>693</v>
      </c>
      <c r="E122" s="1123" t="s">
        <v>368</v>
      </c>
      <c r="F122" s="943">
        <v>1</v>
      </c>
      <c r="G122" s="943">
        <v>1</v>
      </c>
      <c r="H122" s="943">
        <v>1</v>
      </c>
      <c r="I122" s="943">
        <v>1</v>
      </c>
      <c r="J122" s="943">
        <v>1</v>
      </c>
      <c r="K122" s="943">
        <v>1</v>
      </c>
      <c r="L122" s="943">
        <v>1</v>
      </c>
      <c r="M122" s="943">
        <v>1</v>
      </c>
      <c r="N122" s="943">
        <v>1</v>
      </c>
      <c r="O122" s="943">
        <v>1</v>
      </c>
      <c r="P122" s="943">
        <v>1</v>
      </c>
      <c r="Q122" s="943">
        <v>1</v>
      </c>
      <c r="R122" s="943">
        <v>1</v>
      </c>
      <c r="T122" s="221">
        <f t="shared" si="248"/>
        <v>1</v>
      </c>
      <c r="U122" s="192">
        <f>IF('Assessment Details'!F23=AD_no,Poeng!T122,0)</f>
        <v>0</v>
      </c>
      <c r="V122" s="193"/>
      <c r="W122" s="193"/>
      <c r="X122" s="193"/>
      <c r="Y122" s="1164"/>
      <c r="Z122" s="168">
        <f>VLOOKUP(B122,'Manuell filtrering og justering'!$A$7:$H$253,'Manuell filtrering og justering'!$H$1,FALSE)</f>
        <v>1</v>
      </c>
      <c r="AA122" s="169">
        <f t="shared" si="250"/>
        <v>0</v>
      </c>
      <c r="AB122" s="170">
        <f>IF($AC$5='Manuell filtrering og justering'!$J$2,Z122,(T122-AA122))</f>
        <v>1</v>
      </c>
      <c r="AD122" s="171">
        <f t="shared" si="251"/>
        <v>4.4444444444444444E-3</v>
      </c>
      <c r="AE122" s="171">
        <f t="shared" si="260"/>
        <v>0</v>
      </c>
      <c r="AF122" s="171">
        <f t="shared" si="261"/>
        <v>0</v>
      </c>
      <c r="AG122" s="171">
        <f t="shared" si="262"/>
        <v>0</v>
      </c>
      <c r="AI122" s="172">
        <f>IF(VLOOKUP(E122,'Pre-Assessment Estimator'!$E$11:$Z$226,'Pre-Assessment Estimator'!$G$2,FALSE)&gt;AB122,AB122,VLOOKUP(E122,'Pre-Assessment Estimator'!$E$11:$Z$226,'Pre-Assessment Estimator'!$G$2,FALSE))</f>
        <v>0</v>
      </c>
      <c r="AJ122" s="172">
        <f>IF(VLOOKUP(E122,'Pre-Assessment Estimator'!$E$11:$Z$226,'Pre-Assessment Estimator'!$N$2,FALSE)&gt;AB122,AB122,VLOOKUP(E122,'Pre-Assessment Estimator'!$E$11:$Z$226,'Pre-Assessment Estimator'!$N$2,FALSE))</f>
        <v>0</v>
      </c>
      <c r="AK122" s="172">
        <f>IF(VLOOKUP(E122,'Pre-Assessment Estimator'!$E$11:$Z$226,'Pre-Assessment Estimator'!$U$2,FALSE)&gt;AB122,AB122,VLOOKUP(E122,'Pre-Assessment Estimator'!$E$11:$Z$226,'Pre-Assessment Estimator'!$U$2,FALSE))</f>
        <v>0</v>
      </c>
      <c r="AM122" s="295"/>
      <c r="AN122" s="296"/>
      <c r="AO122" s="296"/>
      <c r="AP122" s="296"/>
      <c r="AQ122" s="297"/>
      <c r="AR122" s="139"/>
      <c r="AS122" s="295"/>
      <c r="AT122" s="296"/>
      <c r="AU122" s="296"/>
      <c r="AV122" s="296"/>
      <c r="AW122" s="297"/>
      <c r="AY122" s="194"/>
      <c r="AZ122" s="196"/>
      <c r="BA122" s="196"/>
      <c r="BB122" s="196"/>
      <c r="BC122" s="197"/>
      <c r="BD122" s="198">
        <f t="shared" ref="BD122" si="289">IF(BC122=0,9,IF(AI122&gt;=BC122,5,IF(AI122&gt;=BB122,4,IF(AI122&gt;=BA122,3,IF(AI122&gt;=AZ122,2,IF(AI122&lt;AY122,0,1))))))</f>
        <v>9</v>
      </c>
      <c r="BE122" s="164" t="str">
        <f t="shared" si="256"/>
        <v>N/A</v>
      </c>
      <c r="BF122" s="200"/>
      <c r="BG122" s="198">
        <f>IF(BC122=0,9,IF(AJ122&gt;=BC122,5,IF(AJ122&gt;=BB122,4,IF(AJ122&gt;=BA122,3,IF(AJ122&gt;=AZ122,2,IF(AJ122&lt;AY122,0,1))))))</f>
        <v>9</v>
      </c>
      <c r="BH122" s="164" t="str">
        <f t="shared" si="257"/>
        <v>N/A</v>
      </c>
      <c r="BI122" s="200"/>
      <c r="BJ122" s="198">
        <f t="shared" ref="BJ122" si="290">IF(BC122=0,9,IF(AK122&gt;=BC122,5,IF(AK122&gt;=BB122,4,IF(AK122&gt;=BA122,3,IF(AK122&gt;=AZ122,2,IF(AK122&lt;AY122,0,1))))))</f>
        <v>9</v>
      </c>
      <c r="BK122" s="164" t="str">
        <f t="shared" si="258"/>
        <v>N/A</v>
      </c>
      <c r="BL122" s="200"/>
      <c r="BO122" s="167"/>
      <c r="BP122" s="167"/>
      <c r="BQ122" s="167" t="str">
        <f t="shared" si="157"/>
        <v/>
      </c>
      <c r="BR122" s="167">
        <f t="shared" si="198"/>
        <v>9</v>
      </c>
      <c r="BS122" s="167">
        <f t="shared" si="199"/>
        <v>9</v>
      </c>
      <c r="BT122" s="167">
        <f t="shared" si="200"/>
        <v>9</v>
      </c>
      <c r="BW122" s="314"/>
      <c r="BX122" s="314"/>
      <c r="BY122" s="314"/>
      <c r="BZ122" s="314"/>
      <c r="CA122" s="314"/>
      <c r="CB122" s="314"/>
    </row>
    <row r="123" spans="1:85" ht="15.75" thickBot="1" x14ac:dyDescent="0.3">
      <c r="A123" s="96">
        <v>115</v>
      </c>
      <c r="B123" s="96" t="s">
        <v>886</v>
      </c>
      <c r="D123" s="201"/>
      <c r="E123" s="202" t="s">
        <v>214</v>
      </c>
      <c r="F123" s="773">
        <f>F113+F115+F117+F121</f>
        <v>9</v>
      </c>
      <c r="G123" s="773">
        <f t="shared" ref="G123:R123" si="291">G113+G115+G117+G121</f>
        <v>9</v>
      </c>
      <c r="H123" s="773">
        <f t="shared" si="291"/>
        <v>9</v>
      </c>
      <c r="I123" s="773">
        <f t="shared" si="291"/>
        <v>9</v>
      </c>
      <c r="J123" s="773">
        <f t="shared" si="291"/>
        <v>9</v>
      </c>
      <c r="K123" s="773">
        <f t="shared" si="291"/>
        <v>9</v>
      </c>
      <c r="L123" s="773">
        <f t="shared" si="291"/>
        <v>9</v>
      </c>
      <c r="M123" s="773">
        <f t="shared" si="291"/>
        <v>9</v>
      </c>
      <c r="N123" s="773">
        <f t="shared" si="291"/>
        <v>9</v>
      </c>
      <c r="O123" s="773">
        <f t="shared" si="291"/>
        <v>9</v>
      </c>
      <c r="P123" s="773">
        <f t="shared" si="291"/>
        <v>9</v>
      </c>
      <c r="Q123" s="773">
        <f t="shared" ref="Q123" si="292">Q113+Q115+Q117+Q121</f>
        <v>9</v>
      </c>
      <c r="R123" s="773">
        <f t="shared" si="291"/>
        <v>9</v>
      </c>
      <c r="T123" s="226">
        <f t="shared" si="248"/>
        <v>9</v>
      </c>
      <c r="U123" s="204"/>
      <c r="V123" s="205"/>
      <c r="W123" s="205"/>
      <c r="X123" s="205"/>
      <c r="Y123" s="206"/>
      <c r="Z123" s="206"/>
      <c r="AA123" s="773">
        <f t="shared" ref="AA123:AG123" si="293">AA113+AA115+AA117+AA121</f>
        <v>0</v>
      </c>
      <c r="AB123" s="773">
        <f t="shared" si="293"/>
        <v>9</v>
      </c>
      <c r="AD123" s="208">
        <f t="shared" si="293"/>
        <v>0.04</v>
      </c>
      <c r="AE123" s="208">
        <f t="shared" si="293"/>
        <v>0</v>
      </c>
      <c r="AF123" s="208">
        <f t="shared" si="293"/>
        <v>0</v>
      </c>
      <c r="AG123" s="208">
        <f t="shared" si="293"/>
        <v>0</v>
      </c>
      <c r="AI123" s="78">
        <f t="shared" ref="AI123:AK123" si="294">AI113+AI115+AI117+AI121</f>
        <v>0</v>
      </c>
      <c r="AJ123" s="78">
        <f t="shared" si="294"/>
        <v>0</v>
      </c>
      <c r="AK123" s="78">
        <f t="shared" si="294"/>
        <v>0</v>
      </c>
      <c r="AM123" s="139"/>
      <c r="AN123" s="139"/>
      <c r="AO123" s="139"/>
      <c r="AP123" s="139"/>
      <c r="AQ123" s="139"/>
      <c r="AR123" s="139"/>
      <c r="AS123" s="139"/>
      <c r="AT123" s="139"/>
      <c r="AU123" s="139"/>
      <c r="AV123" s="139"/>
      <c r="AW123" s="139"/>
      <c r="AY123" s="97"/>
      <c r="AZ123" s="209"/>
      <c r="BA123" s="97"/>
      <c r="BB123" s="97"/>
      <c r="BC123" s="97"/>
      <c r="BW123" s="202"/>
      <c r="BX123" s="202" t="str">
        <f>IFERROR(VLOOKUP($E123,'Pre-Assessment Estimator'!$E$11:$AB$226,'Pre-Assessment Estimator'!AB$2,FALSE),"")</f>
        <v/>
      </c>
      <c r="BY123" s="202" t="str">
        <f>IFERROR(VLOOKUP($E123,'Pre-Assessment Estimator'!$E$11:$AI$226,'Pre-Assessment Estimator'!AI$2,FALSE),"")</f>
        <v/>
      </c>
      <c r="BZ123" s="202" t="str">
        <f t="shared" ref="BZ123:CA126" si="295">IFERROR(VLOOKUP($BX123,$E$293:$H$326,F$291,FALSE),"")</f>
        <v/>
      </c>
      <c r="CA123" s="202" t="str">
        <f t="shared" si="295"/>
        <v/>
      </c>
      <c r="CB123" s="202"/>
      <c r="CC123" s="96" t="str">
        <f>IFERROR(VLOOKUP($BX123,$E$293:$H$326,I$291,FALSE),"")</f>
        <v/>
      </c>
    </row>
    <row r="124" spans="1:85" ht="15.75" thickBot="1" x14ac:dyDescent="0.3">
      <c r="A124" s="96">
        <v>116</v>
      </c>
      <c r="AI124" s="1"/>
      <c r="AJ124" s="1"/>
      <c r="AK124" s="1"/>
      <c r="AM124" s="139"/>
      <c r="AN124" s="139"/>
      <c r="AO124" s="139"/>
      <c r="AP124" s="139"/>
      <c r="AQ124" s="139"/>
      <c r="AR124" s="139"/>
      <c r="AS124" s="139"/>
      <c r="AT124" s="139"/>
      <c r="AU124" s="139"/>
      <c r="AV124" s="139"/>
      <c r="AW124" s="139"/>
      <c r="AY124" s="97"/>
      <c r="AZ124" s="97"/>
      <c r="BA124" s="97"/>
      <c r="BB124" s="97"/>
      <c r="BC124" s="97"/>
      <c r="BX124" s="96" t="str">
        <f>IFERROR(VLOOKUP($E124,'Pre-Assessment Estimator'!$E$11:$AB$226,'Pre-Assessment Estimator'!AB$2,FALSE),"")</f>
        <v/>
      </c>
      <c r="BY124" s="96" t="str">
        <f>IFERROR(VLOOKUP($E124,'Pre-Assessment Estimator'!$E$11:$AI$226,'Pre-Assessment Estimator'!AI$2,FALSE),"")</f>
        <v/>
      </c>
      <c r="BZ124" s="96" t="str">
        <f t="shared" si="295"/>
        <v/>
      </c>
      <c r="CA124" s="96" t="str">
        <f t="shared" si="295"/>
        <v/>
      </c>
      <c r="CC124" s="96" t="str">
        <f>IFERROR(VLOOKUP($BX124,$E$293:$H$326,I$291,FALSE),"")</f>
        <v/>
      </c>
    </row>
    <row r="125" spans="1:85" ht="60.75" thickBot="1" x14ac:dyDescent="0.3">
      <c r="A125" s="96">
        <v>117</v>
      </c>
      <c r="D125" s="151"/>
      <c r="E125" s="152" t="s">
        <v>68</v>
      </c>
      <c r="F125" s="1241" t="str">
        <f>$F$9</f>
        <v>Office</v>
      </c>
      <c r="G125" s="1241" t="str">
        <f>$G$9</f>
        <v>Retail</v>
      </c>
      <c r="H125" s="1245" t="str">
        <f>$H$9</f>
        <v>Residential</v>
      </c>
      <c r="I125" s="1241" t="str">
        <f>$I$9</f>
        <v>Industrial</v>
      </c>
      <c r="J125" s="1243" t="str">
        <f>$J$9</f>
        <v>Healthcare</v>
      </c>
      <c r="K125" s="1243" t="str">
        <f>$K$9</f>
        <v>Prison</v>
      </c>
      <c r="L125" s="1243" t="str">
        <f>$L$9</f>
        <v>Law Court</v>
      </c>
      <c r="M125" s="1247" t="str">
        <f>$M$9</f>
        <v>Residential institution (long term stay)</v>
      </c>
      <c r="N125" s="918" t="str">
        <f>$N$9</f>
        <v>Residential institution (short term stay)</v>
      </c>
      <c r="O125" s="918" t="str">
        <f>$O$9</f>
        <v>Non-residential institution</v>
      </c>
      <c r="P125" s="918" t="str">
        <f>$P$9</f>
        <v>Assembly and leisure</v>
      </c>
      <c r="Q125" s="1243" t="str">
        <f>$Q$9</f>
        <v>Education</v>
      </c>
      <c r="R125" s="857" t="str">
        <f>$R$9</f>
        <v>Other</v>
      </c>
      <c r="T125" s="138" t="str">
        <f>$E$6</f>
        <v>Office</v>
      </c>
      <c r="U125" s="210"/>
      <c r="V125" s="211"/>
      <c r="W125" s="211"/>
      <c r="X125" s="211"/>
      <c r="Y125" s="1165" t="s">
        <v>412</v>
      </c>
      <c r="Z125" s="347" t="s">
        <v>335</v>
      </c>
      <c r="AA125" s="150" t="s">
        <v>214</v>
      </c>
      <c r="AB125" s="59" t="s">
        <v>15</v>
      </c>
      <c r="AI125" s="42"/>
      <c r="AJ125" s="60"/>
      <c r="AK125" s="60"/>
      <c r="AM125" s="139"/>
      <c r="AN125" s="139"/>
      <c r="AO125" s="139"/>
      <c r="AP125" s="139"/>
      <c r="AQ125" s="139"/>
      <c r="AR125" s="139"/>
      <c r="AS125" s="139"/>
      <c r="AT125" s="139"/>
      <c r="AU125" s="139"/>
      <c r="AV125" s="139"/>
      <c r="AW125" s="139"/>
      <c r="AY125" s="97"/>
      <c r="AZ125" s="97"/>
      <c r="BA125" s="97"/>
      <c r="BB125" s="97"/>
      <c r="BC125" s="97"/>
      <c r="BO125" s="60"/>
      <c r="BP125" s="60"/>
      <c r="BQ125" s="60"/>
      <c r="BR125" s="60"/>
      <c r="BS125" s="60"/>
      <c r="BT125" s="60"/>
      <c r="BW125" s="146"/>
      <c r="BX125" s="146" t="str">
        <f>E125</f>
        <v>Materials</v>
      </c>
      <c r="BY125" s="146">
        <f>IFERROR(VLOOKUP($E125,'Pre-Assessment Estimator'!$E$11:$AI$226,'Pre-Assessment Estimator'!AI$2,FALSE),"")</f>
        <v>0</v>
      </c>
      <c r="BZ125" s="146" t="str">
        <f t="shared" si="295"/>
        <v/>
      </c>
      <c r="CA125" s="146" t="str">
        <f t="shared" si="295"/>
        <v/>
      </c>
      <c r="CB125" s="146"/>
      <c r="CC125" s="96" t="str">
        <f>IFERROR(VLOOKUP($BX125,$E$293:$H$326,I$291,FALSE),"")</f>
        <v/>
      </c>
    </row>
    <row r="126" spans="1:85" x14ac:dyDescent="0.25">
      <c r="A126" s="96">
        <v>118</v>
      </c>
      <c r="B126" s="137" t="str">
        <f>D126</f>
        <v>Mat 01</v>
      </c>
      <c r="C126" s="137" t="str">
        <f>B126</f>
        <v>Mat 01</v>
      </c>
      <c r="D126" s="858" t="s">
        <v>173</v>
      </c>
      <c r="E126" s="859" t="s">
        <v>463</v>
      </c>
      <c r="F126" s="933">
        <f>SUM(F127:F129)</f>
        <v>5</v>
      </c>
      <c r="G126" s="933">
        <f t="shared" ref="G126:R126" si="296">SUM(G127:G129)</f>
        <v>5</v>
      </c>
      <c r="H126" s="933">
        <f t="shared" si="296"/>
        <v>5</v>
      </c>
      <c r="I126" s="933">
        <f t="shared" si="296"/>
        <v>5</v>
      </c>
      <c r="J126" s="933">
        <f t="shared" si="296"/>
        <v>5</v>
      </c>
      <c r="K126" s="933">
        <f t="shared" si="296"/>
        <v>5</v>
      </c>
      <c r="L126" s="933">
        <f t="shared" si="296"/>
        <v>5</v>
      </c>
      <c r="M126" s="933">
        <f t="shared" si="296"/>
        <v>5</v>
      </c>
      <c r="N126" s="933">
        <f t="shared" si="296"/>
        <v>5</v>
      </c>
      <c r="O126" s="933">
        <f t="shared" si="296"/>
        <v>5</v>
      </c>
      <c r="P126" s="933">
        <f t="shared" si="296"/>
        <v>5</v>
      </c>
      <c r="Q126" s="933">
        <f t="shared" ref="Q126" si="297">SUM(Q127:Q129)</f>
        <v>5</v>
      </c>
      <c r="R126" s="933">
        <f t="shared" si="296"/>
        <v>5</v>
      </c>
      <c r="T126" s="961">
        <f t="shared" ref="T126:T152" si="298">HLOOKUP($E$6,$F$9:$R$231,$A126,FALSE)</f>
        <v>5</v>
      </c>
      <c r="U126" s="222"/>
      <c r="V126" s="230"/>
      <c r="W126" s="230"/>
      <c r="X126" s="230">
        <f>'Manuell filtrering og justering'!E59</f>
        <v>0</v>
      </c>
      <c r="Y126" s="230"/>
      <c r="Z126" s="958">
        <f t="shared" ref="Z126" si="299">SUM(Z127:Z129)</f>
        <v>5</v>
      </c>
      <c r="AA126" s="963">
        <f t="shared" ref="AA126:AA151" si="300">IF(SUM(U126:Y126)&gt;T126,T126,SUM(U126:Y126))</f>
        <v>0</v>
      </c>
      <c r="AB126" s="1066">
        <f>SUM(AB127:AB129)</f>
        <v>5</v>
      </c>
      <c r="AD126" s="171">
        <f t="shared" ref="AD126:AD151" si="301">(Mat_Weight/Mat_Credits)*AB126</f>
        <v>4.0476190476190485E-2</v>
      </c>
      <c r="AE126" s="921">
        <f>SUM(AE127:AE129)</f>
        <v>0</v>
      </c>
      <c r="AF126" s="921">
        <f t="shared" ref="AF126" si="302">SUM(AF127:AF129)</f>
        <v>0</v>
      </c>
      <c r="AG126" s="921">
        <f t="shared" ref="AG126" si="303">SUM(AG127:AG129)</f>
        <v>0</v>
      </c>
      <c r="AI126" s="958">
        <f t="shared" ref="AI126" si="304">SUM(AI127:AI129)</f>
        <v>0</v>
      </c>
      <c r="AJ126" s="958">
        <f t="shared" ref="AJ126" si="305">SUM(AJ127:AJ129)</f>
        <v>0</v>
      </c>
      <c r="AK126" s="958">
        <f t="shared" ref="AK126" si="306">SUM(AK127:AK129)</f>
        <v>0</v>
      </c>
      <c r="AM126" s="298"/>
      <c r="AN126" s="299"/>
      <c r="AO126" s="299"/>
      <c r="AP126" s="299"/>
      <c r="AQ126" s="300"/>
      <c r="AR126" s="139"/>
      <c r="AS126" s="298"/>
      <c r="AT126" s="299"/>
      <c r="AU126" s="299"/>
      <c r="AV126" s="299"/>
      <c r="AW126" s="300"/>
      <c r="AY126" s="218"/>
      <c r="AZ126" s="219"/>
      <c r="BA126" s="219"/>
      <c r="BB126" s="219"/>
      <c r="BC126" s="716"/>
      <c r="BD126" s="174">
        <f t="shared" ref="BD126:BD129" si="307">IF(BC126=0,9,IF(AI126&gt;=BC126,5,IF(AI126&gt;=BB126,4,IF(AI126&gt;=BA126,3,IF(AI126&gt;=AZ126,2,IF(AI126&lt;AY126,0,1))))))</f>
        <v>9</v>
      </c>
      <c r="BE126" s="164" t="str">
        <f t="shared" ref="BE126:BE151" si="308">VLOOKUP(BD126,$BO$284:$BT$290,6,FALSE)</f>
        <v>N/A</v>
      </c>
      <c r="BF126" s="178"/>
      <c r="BG126" s="174">
        <f t="shared" ref="BG126:BG133" si="309">IF(BC126=0,9,IF(AJ126&gt;=BC126,5,IF(AJ126&gt;=BB126,4,IF(AJ126&gt;=BA126,3,IF(AJ126&gt;=AZ126,2,IF(AJ126&lt;AY126,0,1))))))</f>
        <v>9</v>
      </c>
      <c r="BH126" s="164" t="str">
        <f t="shared" ref="BH126:BH151" si="310">VLOOKUP(BG126,$BO$284:$BT$290,6,FALSE)</f>
        <v>N/A</v>
      </c>
      <c r="BI126" s="178"/>
      <c r="BJ126" s="174">
        <f t="shared" si="28"/>
        <v>9</v>
      </c>
      <c r="BK126" s="164" t="str">
        <f t="shared" ref="BK126:BK151" si="311">VLOOKUP(BJ126,$BO$284:$BT$290,6,FALSE)</f>
        <v>N/A</v>
      </c>
      <c r="BL126" s="178"/>
      <c r="BO126" s="167"/>
      <c r="BP126" s="167"/>
      <c r="BQ126" s="167" t="str">
        <f t="shared" si="157"/>
        <v/>
      </c>
      <c r="BR126" s="167">
        <f t="shared" si="198"/>
        <v>9</v>
      </c>
      <c r="BS126" s="167">
        <f t="shared" si="199"/>
        <v>9</v>
      </c>
      <c r="BT126" s="167">
        <f t="shared" si="200"/>
        <v>9</v>
      </c>
      <c r="BW126" s="164" t="str">
        <f>D126</f>
        <v>Mat 01</v>
      </c>
      <c r="BX126" s="164" t="str">
        <f>IFERROR(VLOOKUP($E126,'Pre-Assessment Estimator'!$E$11:$AB$226,'Pre-Assessment Estimator'!AB$2,FALSE),"")</f>
        <v>N/A</v>
      </c>
      <c r="BY126" s="164">
        <f>IFERROR(VLOOKUP($E126,'Pre-Assessment Estimator'!$E$11:$AI$226,'Pre-Assessment Estimator'!AI$2,FALSE),"")</f>
        <v>0</v>
      </c>
      <c r="BZ126" s="164">
        <f t="shared" si="295"/>
        <v>1</v>
      </c>
      <c r="CA126" s="164">
        <f t="shared" si="295"/>
        <v>0</v>
      </c>
      <c r="CB126" s="164"/>
      <c r="CC126" s="96" t="s">
        <v>430</v>
      </c>
    </row>
    <row r="127" spans="1:85" x14ac:dyDescent="0.25">
      <c r="A127" s="96">
        <v>119</v>
      </c>
      <c r="B127" s="137"/>
      <c r="C127" s="96" t="str">
        <f t="shared" si="159"/>
        <v>Mat 01</v>
      </c>
      <c r="D127" s="166" t="s">
        <v>693</v>
      </c>
      <c r="E127" s="940" t="s">
        <v>646</v>
      </c>
      <c r="F127" s="775"/>
      <c r="G127" s="775"/>
      <c r="H127" s="775"/>
      <c r="I127" s="775"/>
      <c r="J127" s="775"/>
      <c r="K127" s="775"/>
      <c r="L127" s="775"/>
      <c r="M127" s="775"/>
      <c r="N127" s="775"/>
      <c r="O127" s="775"/>
      <c r="P127" s="775"/>
      <c r="Q127" s="775"/>
      <c r="R127" s="775"/>
      <c r="T127" s="221">
        <f t="shared" si="298"/>
        <v>0</v>
      </c>
      <c r="U127" s="166"/>
      <c r="V127" s="167"/>
      <c r="W127" s="167"/>
      <c r="X127" s="167"/>
      <c r="Y127" s="168"/>
      <c r="Z127" s="168"/>
      <c r="AA127" s="169">
        <f t="shared" si="300"/>
        <v>0</v>
      </c>
      <c r="AB127" s="170">
        <f>IF($AC$5='Manuell filtrering og justering'!$J$2,Z127,(T127-AA127))</f>
        <v>0</v>
      </c>
      <c r="AD127" s="171">
        <f t="shared" si="301"/>
        <v>0</v>
      </c>
      <c r="AE127" s="171">
        <f t="shared" ref="AE127:AE151" si="312">IF(AB127=0,0,(AD127/AB127)*AI127)</f>
        <v>0</v>
      </c>
      <c r="AF127" s="171">
        <f t="shared" ref="AF127:AF151" si="313">IF(AB127=0,0,(AD127/AB127)*AJ127)</f>
        <v>0</v>
      </c>
      <c r="AG127" s="171">
        <f t="shared" ref="AG127:AG151" si="314">IF(AB127=0,0,(AD127/AB127)*AK127)</f>
        <v>0</v>
      </c>
      <c r="AI127" s="172">
        <f>IF(VLOOKUP(E127,'Pre-Assessment Estimator'!$E$11:$Z$226,'Pre-Assessment Estimator'!$G$2,FALSE)&gt;AB127,AB127,VLOOKUP(E127,'Pre-Assessment Estimator'!$E$11:$Z$226,'Pre-Assessment Estimator'!$G$2,FALSE))</f>
        <v>0</v>
      </c>
      <c r="AJ127" s="172">
        <f>IF(VLOOKUP(E127,'Pre-Assessment Estimator'!$E$11:$Z$226,'Pre-Assessment Estimator'!$N$2,FALSE)&gt;AB127,AB127,VLOOKUP(E127,'Pre-Assessment Estimator'!$E$11:$Z$226,'Pre-Assessment Estimator'!$N$2,FALSE))</f>
        <v>0</v>
      </c>
      <c r="AK127" s="172">
        <f>IF(VLOOKUP(E127,'Pre-Assessment Estimator'!$E$11:$Z$226,'Pre-Assessment Estimator'!$U$2,FALSE)&gt;AB127,AB127,VLOOKUP(E127,'Pre-Assessment Estimator'!$E$11:$Z$226,'Pre-Assessment Estimator'!$U$2,FALSE))</f>
        <v>0</v>
      </c>
      <c r="AM127" s="835"/>
      <c r="AN127" s="836"/>
      <c r="AO127" s="836"/>
      <c r="AP127" s="836"/>
      <c r="AQ127" s="837"/>
      <c r="AR127" s="139"/>
      <c r="AS127" s="835"/>
      <c r="AT127" s="836"/>
      <c r="AU127" s="836"/>
      <c r="AV127" s="836"/>
      <c r="AW127" s="837"/>
      <c r="AY127" s="708"/>
      <c r="AZ127" s="709"/>
      <c r="BA127" s="709"/>
      <c r="BB127" s="709"/>
      <c r="BC127" s="855"/>
      <c r="BD127" s="182">
        <f t="shared" si="307"/>
        <v>9</v>
      </c>
      <c r="BE127" s="164" t="str">
        <f t="shared" si="308"/>
        <v>N/A</v>
      </c>
      <c r="BF127" s="185"/>
      <c r="BG127" s="182">
        <f t="shared" ref="BG127:BG129" si="315">IF(BC127=0,9,IF(AJ127&gt;=BC127,5,IF(AJ127&gt;=BB127,4,IF(AJ127&gt;=BA127,3,IF(AJ127&gt;=AZ127,2,IF(AJ127&lt;AY127,0,1))))))</f>
        <v>9</v>
      </c>
      <c r="BH127" s="164" t="str">
        <f t="shared" si="310"/>
        <v>N/A</v>
      </c>
      <c r="BI127" s="185"/>
      <c r="BJ127" s="182">
        <f t="shared" si="28"/>
        <v>9</v>
      </c>
      <c r="BK127" s="164" t="str">
        <f t="shared" si="311"/>
        <v>N/A</v>
      </c>
      <c r="BL127" s="830"/>
      <c r="BO127" s="167"/>
      <c r="BP127" s="167"/>
      <c r="BQ127" s="167" t="str">
        <f t="shared" si="157"/>
        <v/>
      </c>
      <c r="BR127" s="167">
        <f t="shared" si="198"/>
        <v>9</v>
      </c>
      <c r="BS127" s="167">
        <f t="shared" si="199"/>
        <v>9</v>
      </c>
      <c r="BT127" s="167">
        <f t="shared" si="200"/>
        <v>9</v>
      </c>
      <c r="BW127" s="164"/>
      <c r="BX127" s="164"/>
      <c r="BY127" s="164"/>
      <c r="BZ127" s="164"/>
      <c r="CA127" s="164"/>
      <c r="CB127" s="164"/>
    </row>
    <row r="128" spans="1:85" x14ac:dyDescent="0.25">
      <c r="A128" s="96">
        <v>120</v>
      </c>
      <c r="B128" s="96" t="str">
        <f t="shared" ref="B128:B129" si="316">$D$126&amp;D128</f>
        <v>Mat 01b</v>
      </c>
      <c r="C128" s="96" t="str">
        <f t="shared" si="159"/>
        <v>Mat 01</v>
      </c>
      <c r="D128" s="166" t="s">
        <v>696</v>
      </c>
      <c r="E128" s="1123" t="s">
        <v>647</v>
      </c>
      <c r="F128" s="775">
        <v>3</v>
      </c>
      <c r="G128" s="775">
        <v>3</v>
      </c>
      <c r="H128" s="775">
        <v>3</v>
      </c>
      <c r="I128" s="775">
        <v>3</v>
      </c>
      <c r="J128" s="775">
        <v>3</v>
      </c>
      <c r="K128" s="775">
        <v>3</v>
      </c>
      <c r="L128" s="775">
        <v>3</v>
      </c>
      <c r="M128" s="775">
        <v>3</v>
      </c>
      <c r="N128" s="775">
        <v>3</v>
      </c>
      <c r="O128" s="775">
        <v>3</v>
      </c>
      <c r="P128" s="775">
        <v>3</v>
      </c>
      <c r="Q128" s="775">
        <v>3</v>
      </c>
      <c r="R128" s="775">
        <v>3</v>
      </c>
      <c r="T128" s="221">
        <f t="shared" si="298"/>
        <v>3</v>
      </c>
      <c r="U128" s="166"/>
      <c r="V128" s="167"/>
      <c r="W128" s="167"/>
      <c r="X128" s="167"/>
      <c r="Y128" s="168"/>
      <c r="Z128" s="168">
        <f>VLOOKUP(B128,'Manuell filtrering og justering'!$A$7:$H$253,'Manuell filtrering og justering'!$H$1,FALSE)</f>
        <v>3</v>
      </c>
      <c r="AA128" s="169">
        <f t="shared" si="300"/>
        <v>0</v>
      </c>
      <c r="AB128" s="170">
        <f>IF($AC$5='Manuell filtrering og justering'!$J$2,Z128,(T128-AA128))</f>
        <v>3</v>
      </c>
      <c r="AD128" s="171">
        <f t="shared" si="301"/>
        <v>2.4285714285714289E-2</v>
      </c>
      <c r="AE128" s="171">
        <f t="shared" si="312"/>
        <v>0</v>
      </c>
      <c r="AF128" s="171">
        <f t="shared" si="313"/>
        <v>0</v>
      </c>
      <c r="AG128" s="171">
        <f t="shared" si="314"/>
        <v>0</v>
      </c>
      <c r="AI128" s="172">
        <f>IF(VLOOKUP(E128,'Pre-Assessment Estimator'!$E$11:$Z$226,'Pre-Assessment Estimator'!$G$2,FALSE)&gt;AB128,AB128,VLOOKUP(E128,'Pre-Assessment Estimator'!$E$11:$Z$226,'Pre-Assessment Estimator'!$G$2,FALSE))</f>
        <v>0</v>
      </c>
      <c r="AJ128" s="172">
        <f>IF(VLOOKUP(E128,'Pre-Assessment Estimator'!$E$11:$Z$226,'Pre-Assessment Estimator'!$N$2,FALSE)&gt;AB128,AB128,VLOOKUP(E128,'Pre-Assessment Estimator'!$E$11:$Z$226,'Pre-Assessment Estimator'!$N$2,FALSE))</f>
        <v>0</v>
      </c>
      <c r="AK128" s="172">
        <f>IF(VLOOKUP(E128,'Pre-Assessment Estimator'!$E$11:$Z$226,'Pre-Assessment Estimator'!$U$2,FALSE)&gt;AB128,AB128,VLOOKUP(E128,'Pre-Assessment Estimator'!$E$11:$Z$226,'Pre-Assessment Estimator'!$U$2,FALSE))</f>
        <v>0</v>
      </c>
      <c r="AM128" s="835"/>
      <c r="AN128" s="836"/>
      <c r="AO128" s="836">
        <v>1</v>
      </c>
      <c r="AP128" s="836">
        <v>1</v>
      </c>
      <c r="AQ128" s="837">
        <v>2</v>
      </c>
      <c r="AR128" s="139"/>
      <c r="AS128" s="835"/>
      <c r="AT128" s="836"/>
      <c r="AU128" s="836">
        <v>1</v>
      </c>
      <c r="AV128" s="836">
        <v>1</v>
      </c>
      <c r="AW128" s="837">
        <v>2</v>
      </c>
      <c r="AY128" s="708"/>
      <c r="AZ128" s="709"/>
      <c r="BA128" s="183">
        <f>IF($AB128=0,0,IF($E$6=$H$9,AU128,AO128))</f>
        <v>1</v>
      </c>
      <c r="BB128" s="183">
        <f>IF($AB128=0,0,IF($E$6=$H$9,AV128,AP128))</f>
        <v>1</v>
      </c>
      <c r="BC128" s="183">
        <f>IF($AB128=0,0,IF($E$6=$H$9,AW128,AQ128))</f>
        <v>2</v>
      </c>
      <c r="BD128" s="182">
        <f t="shared" si="307"/>
        <v>2</v>
      </c>
      <c r="BE128" s="164" t="str">
        <f t="shared" si="308"/>
        <v>Good</v>
      </c>
      <c r="BF128" s="185"/>
      <c r="BG128" s="182">
        <f t="shared" si="315"/>
        <v>2</v>
      </c>
      <c r="BH128" s="164" t="str">
        <f t="shared" si="310"/>
        <v>Good</v>
      </c>
      <c r="BI128" s="185"/>
      <c r="BJ128" s="182">
        <f t="shared" si="28"/>
        <v>2</v>
      </c>
      <c r="BK128" s="164" t="str">
        <f t="shared" si="311"/>
        <v>Good</v>
      </c>
      <c r="BL128" s="830"/>
      <c r="BO128" s="167"/>
      <c r="BP128" s="167"/>
      <c r="BQ128" s="167" t="str">
        <f t="shared" si="157"/>
        <v/>
      </c>
      <c r="BR128" s="167">
        <f t="shared" si="198"/>
        <v>9</v>
      </c>
      <c r="BS128" s="167">
        <f t="shared" si="199"/>
        <v>9</v>
      </c>
      <c r="BT128" s="167">
        <f t="shared" si="200"/>
        <v>9</v>
      </c>
      <c r="BW128" s="164"/>
      <c r="BX128" s="164"/>
      <c r="BY128" s="164"/>
      <c r="BZ128" s="164"/>
      <c r="CA128" s="164"/>
      <c r="CB128" s="164"/>
    </row>
    <row r="129" spans="1:85" x14ac:dyDescent="0.25">
      <c r="A129" s="96">
        <v>121</v>
      </c>
      <c r="B129" s="96" t="str">
        <f t="shared" si="316"/>
        <v>Mat 01c</v>
      </c>
      <c r="C129" s="96" t="str">
        <f t="shared" si="159"/>
        <v>Mat 01</v>
      </c>
      <c r="D129" s="188" t="s">
        <v>697</v>
      </c>
      <c r="E129" s="1123" t="s">
        <v>648</v>
      </c>
      <c r="F129" s="775">
        <v>2</v>
      </c>
      <c r="G129" s="775">
        <v>2</v>
      </c>
      <c r="H129" s="775">
        <v>2</v>
      </c>
      <c r="I129" s="775">
        <v>2</v>
      </c>
      <c r="J129" s="775">
        <v>2</v>
      </c>
      <c r="K129" s="775">
        <v>2</v>
      </c>
      <c r="L129" s="775">
        <v>2</v>
      </c>
      <c r="M129" s="775">
        <v>2</v>
      </c>
      <c r="N129" s="775">
        <v>2</v>
      </c>
      <c r="O129" s="775">
        <v>2</v>
      </c>
      <c r="P129" s="775">
        <v>2</v>
      </c>
      <c r="Q129" s="775">
        <v>2</v>
      </c>
      <c r="R129" s="775">
        <v>2</v>
      </c>
      <c r="T129" s="221">
        <f t="shared" si="298"/>
        <v>2</v>
      </c>
      <c r="U129" s="166"/>
      <c r="V129" s="167"/>
      <c r="W129" s="167"/>
      <c r="X129" s="167"/>
      <c r="Y129" s="168"/>
      <c r="Z129" s="168">
        <f>VLOOKUP(B129,'Manuell filtrering og justering'!$A$7:$H$253,'Manuell filtrering og justering'!$H$1,FALSE)</f>
        <v>2</v>
      </c>
      <c r="AA129" s="169">
        <f t="shared" si="300"/>
        <v>0</v>
      </c>
      <c r="AB129" s="170">
        <f>IF($AC$5='Manuell filtrering og justering'!$J$2,Z129,(T129-AA129))</f>
        <v>2</v>
      </c>
      <c r="AD129" s="171">
        <f t="shared" si="301"/>
        <v>1.6190476190476193E-2</v>
      </c>
      <c r="AE129" s="171">
        <f t="shared" si="312"/>
        <v>0</v>
      </c>
      <c r="AF129" s="171">
        <f t="shared" si="313"/>
        <v>0</v>
      </c>
      <c r="AG129" s="171">
        <f t="shared" si="314"/>
        <v>0</v>
      </c>
      <c r="AI129" s="172">
        <f>IF(VLOOKUP(E129,'Pre-Assessment Estimator'!$E$11:$Z$226,'Pre-Assessment Estimator'!$G$2,FALSE)&gt;AB129,AB129,VLOOKUP(E129,'Pre-Assessment Estimator'!$E$11:$Z$226,'Pre-Assessment Estimator'!$G$2,FALSE))</f>
        <v>0</v>
      </c>
      <c r="AJ129" s="172">
        <f>IF(VLOOKUP(E129,'Pre-Assessment Estimator'!$E$11:$Z$226,'Pre-Assessment Estimator'!$N$2,FALSE)&gt;AB129,AB129,VLOOKUP(E129,'Pre-Assessment Estimator'!$E$11:$Z$226,'Pre-Assessment Estimator'!$N$2,FALSE))</f>
        <v>0</v>
      </c>
      <c r="AK129" s="172">
        <f>IF(VLOOKUP(E129,'Pre-Assessment Estimator'!$E$11:$Z$226,'Pre-Assessment Estimator'!$U$2,FALSE)&gt;AB129,AB129,VLOOKUP(E129,'Pre-Assessment Estimator'!$E$11:$Z$226,'Pre-Assessment Estimator'!$U$2,FALSE))</f>
        <v>0</v>
      </c>
      <c r="AM129" s="835"/>
      <c r="AN129" s="836"/>
      <c r="AO129" s="836"/>
      <c r="AP129" s="836"/>
      <c r="AQ129" s="837"/>
      <c r="AR129" s="139"/>
      <c r="AS129" s="835"/>
      <c r="AT129" s="836"/>
      <c r="AU129" s="836"/>
      <c r="AV129" s="836"/>
      <c r="AW129" s="837"/>
      <c r="AY129" s="708"/>
      <c r="AZ129" s="709"/>
      <c r="BA129" s="709"/>
      <c r="BB129" s="709"/>
      <c r="BC129" s="855"/>
      <c r="BD129" s="182">
        <f t="shared" si="307"/>
        <v>9</v>
      </c>
      <c r="BE129" s="164" t="str">
        <f t="shared" si="308"/>
        <v>N/A</v>
      </c>
      <c r="BF129" s="185"/>
      <c r="BG129" s="182">
        <f t="shared" si="315"/>
        <v>9</v>
      </c>
      <c r="BH129" s="164" t="str">
        <f t="shared" si="310"/>
        <v>N/A</v>
      </c>
      <c r="BI129" s="185"/>
      <c r="BJ129" s="182">
        <f t="shared" si="28"/>
        <v>9</v>
      </c>
      <c r="BK129" s="164" t="str">
        <f t="shared" si="311"/>
        <v>N/A</v>
      </c>
      <c r="BL129" s="830"/>
      <c r="BO129" s="167"/>
      <c r="BP129" s="167"/>
      <c r="BQ129" s="167" t="str">
        <f t="shared" si="157"/>
        <v/>
      </c>
      <c r="BR129" s="167">
        <f t="shared" si="198"/>
        <v>9</v>
      </c>
      <c r="BS129" s="167">
        <f t="shared" si="199"/>
        <v>9</v>
      </c>
      <c r="BT129" s="167">
        <f t="shared" si="200"/>
        <v>9</v>
      </c>
      <c r="BW129" s="164"/>
      <c r="BX129" s="164"/>
      <c r="BY129" s="164"/>
      <c r="BZ129" s="164"/>
      <c r="CA129" s="164"/>
      <c r="CB129" s="164"/>
    </row>
    <row r="130" spans="1:85" x14ac:dyDescent="0.25">
      <c r="A130" s="96">
        <v>122</v>
      </c>
      <c r="B130" s="137" t="str">
        <f>D130</f>
        <v>Mat 02</v>
      </c>
      <c r="C130" s="137" t="str">
        <f>B130</f>
        <v>Mat 02</v>
      </c>
      <c r="D130" s="946" t="s">
        <v>478</v>
      </c>
      <c r="E130" s="832" t="s">
        <v>957</v>
      </c>
      <c r="F130" s="933">
        <f>SUM(F131:F133)</f>
        <v>3</v>
      </c>
      <c r="G130" s="933">
        <f t="shared" ref="G130:R130" si="317">SUM(G131:G133)</f>
        <v>3</v>
      </c>
      <c r="H130" s="933">
        <f t="shared" si="317"/>
        <v>3</v>
      </c>
      <c r="I130" s="933">
        <f t="shared" si="317"/>
        <v>3</v>
      </c>
      <c r="J130" s="933">
        <f t="shared" si="317"/>
        <v>3</v>
      </c>
      <c r="K130" s="933">
        <f t="shared" si="317"/>
        <v>3</v>
      </c>
      <c r="L130" s="933">
        <f t="shared" si="317"/>
        <v>3</v>
      </c>
      <c r="M130" s="933">
        <f t="shared" si="317"/>
        <v>3</v>
      </c>
      <c r="N130" s="933">
        <f t="shared" si="317"/>
        <v>3</v>
      </c>
      <c r="O130" s="933">
        <f t="shared" si="317"/>
        <v>3</v>
      </c>
      <c r="P130" s="933">
        <f t="shared" si="317"/>
        <v>3</v>
      </c>
      <c r="Q130" s="933">
        <f t="shared" ref="Q130" si="318">SUM(Q131:Q133)</f>
        <v>3</v>
      </c>
      <c r="R130" s="933">
        <f t="shared" si="317"/>
        <v>3</v>
      </c>
      <c r="T130" s="963">
        <f t="shared" si="298"/>
        <v>3</v>
      </c>
      <c r="U130" s="222"/>
      <c r="V130" s="230"/>
      <c r="W130" s="230"/>
      <c r="X130" s="230">
        <f>'Manuell filtrering og justering'!E60</f>
        <v>0</v>
      </c>
      <c r="Y130" s="230"/>
      <c r="Z130" s="958">
        <f t="shared" ref="Z130" si="319">SUM(Z131:Z133)</f>
        <v>3</v>
      </c>
      <c r="AA130" s="963">
        <f t="shared" si="300"/>
        <v>0</v>
      </c>
      <c r="AB130" s="1066">
        <f>SUM(AB131:AB133)</f>
        <v>3</v>
      </c>
      <c r="AD130" s="171">
        <f t="shared" si="301"/>
        <v>2.4285714285714289E-2</v>
      </c>
      <c r="AE130" s="921">
        <f>SUM(AE131:AE133)</f>
        <v>0</v>
      </c>
      <c r="AF130" s="921">
        <f t="shared" ref="AF130" si="320">SUM(AF131:AF133)</f>
        <v>0</v>
      </c>
      <c r="AG130" s="921">
        <f t="shared" ref="AG130" si="321">SUM(AG131:AG133)</f>
        <v>0</v>
      </c>
      <c r="AI130" s="958">
        <f t="shared" ref="AI130" si="322">SUM(AI131:AI133)</f>
        <v>0</v>
      </c>
      <c r="AJ130" s="958">
        <f t="shared" ref="AJ130" si="323">SUM(AJ131:AJ133)</f>
        <v>0</v>
      </c>
      <c r="AK130" s="958">
        <f t="shared" ref="AK130" si="324">SUM(AK131:AK133)</f>
        <v>0</v>
      </c>
      <c r="AM130" s="292"/>
      <c r="AN130" s="293"/>
      <c r="AO130" s="293"/>
      <c r="AP130" s="293"/>
      <c r="AQ130" s="294"/>
      <c r="AR130" s="139"/>
      <c r="AS130" s="292"/>
      <c r="AT130" s="293"/>
      <c r="AU130" s="293"/>
      <c r="AV130" s="293"/>
      <c r="AW130" s="294"/>
      <c r="AY130" s="708"/>
      <c r="AZ130" s="709"/>
      <c r="BA130" s="709"/>
      <c r="BB130" s="709"/>
      <c r="BC130" s="717"/>
      <c r="BD130" s="182">
        <f t="shared" ref="BD130:BD133" si="325">IF(BC130=0,9,IF(AI130&gt;=BC130,5,IF(AI130&gt;=BB130,4,IF(AI130&gt;=BA130,3,IF(AI130&gt;=AZ130,2,IF(AI130&lt;AY130,0,1))))))</f>
        <v>9</v>
      </c>
      <c r="BE130" s="164" t="str">
        <f t="shared" si="308"/>
        <v>N/A</v>
      </c>
      <c r="BF130" s="185"/>
      <c r="BG130" s="182">
        <f t="shared" si="309"/>
        <v>9</v>
      </c>
      <c r="BH130" s="164" t="str">
        <f t="shared" si="310"/>
        <v>N/A</v>
      </c>
      <c r="BI130" s="185"/>
      <c r="BJ130" s="182">
        <f t="shared" ref="BJ130:BJ133" si="326">IF(BC130=0,9,IF(AK130&gt;=BC130,5,IF(AK130&gt;=BB130,4,IF(AK130&gt;=BA130,3,IF(AK130&gt;=AZ130,2,IF(AK130&lt;AY130,0,1))))))</f>
        <v>9</v>
      </c>
      <c r="BK130" s="164" t="str">
        <f t="shared" si="311"/>
        <v>N/A</v>
      </c>
      <c r="BL130" s="185"/>
      <c r="BO130" s="167"/>
      <c r="BP130" s="167"/>
      <c r="BQ130" s="167" t="str">
        <f t="shared" si="157"/>
        <v/>
      </c>
      <c r="BR130" s="167">
        <f t="shared" si="198"/>
        <v>9</v>
      </c>
      <c r="BS130" s="167">
        <f t="shared" si="199"/>
        <v>9</v>
      </c>
      <c r="BT130" s="167">
        <f t="shared" si="200"/>
        <v>9</v>
      </c>
      <c r="BW130" s="164"/>
      <c r="BX130" s="164"/>
      <c r="BY130" s="164"/>
      <c r="BZ130" s="164"/>
      <c r="CA130" s="164"/>
      <c r="CB130" s="164"/>
    </row>
    <row r="131" spans="1:85" x14ac:dyDescent="0.25">
      <c r="A131" s="96">
        <v>123</v>
      </c>
      <c r="B131" s="137"/>
      <c r="C131" s="96" t="str">
        <f t="shared" si="159"/>
        <v>Mat 02</v>
      </c>
      <c r="D131" s="188" t="s">
        <v>693</v>
      </c>
      <c r="E131" s="940" t="str">
        <f>Ene01_Crit1</f>
        <v>Minimum req: absence of environmental toxins (EU taxonomy requirement: criterion 1)</v>
      </c>
      <c r="F131" s="775"/>
      <c r="G131" s="775"/>
      <c r="H131" s="775"/>
      <c r="I131" s="775"/>
      <c r="J131" s="775"/>
      <c r="K131" s="775"/>
      <c r="L131" s="775"/>
      <c r="M131" s="775"/>
      <c r="N131" s="775"/>
      <c r="O131" s="775"/>
      <c r="P131" s="775"/>
      <c r="Q131" s="775"/>
      <c r="R131" s="775"/>
      <c r="T131" s="221">
        <f t="shared" si="298"/>
        <v>0</v>
      </c>
      <c r="U131" s="166"/>
      <c r="V131" s="167"/>
      <c r="W131" s="167"/>
      <c r="X131" s="167"/>
      <c r="Y131" s="168"/>
      <c r="Z131" s="168"/>
      <c r="AA131" s="169">
        <f t="shared" si="300"/>
        <v>0</v>
      </c>
      <c r="AB131" s="170">
        <f>IF($AC$5='Manuell filtrering og justering'!$J$2,Z131,(T131-AA131))</f>
        <v>0</v>
      </c>
      <c r="AD131" s="171">
        <f t="shared" si="301"/>
        <v>0</v>
      </c>
      <c r="AE131" s="171">
        <f t="shared" si="312"/>
        <v>0</v>
      </c>
      <c r="AF131" s="171">
        <f t="shared" si="313"/>
        <v>0</v>
      </c>
      <c r="AG131" s="171">
        <f t="shared" si="314"/>
        <v>0</v>
      </c>
      <c r="AI131" s="172">
        <f>IF(VLOOKUP(E131,'Pre-Assessment Estimator'!$E$11:$Z$226,'Pre-Assessment Estimator'!$G$2,FALSE)&gt;AB131,AB131,VLOOKUP(E131,'Pre-Assessment Estimator'!$E$11:$Z$226,'Pre-Assessment Estimator'!$G$2,FALSE))</f>
        <v>0</v>
      </c>
      <c r="AJ131" s="172">
        <f>IF(VLOOKUP(E131,'Pre-Assessment Estimator'!$E$11:$Z$226,'Pre-Assessment Estimator'!$N$2,FALSE)&gt;AB131,AB131,VLOOKUP(E131,'Pre-Assessment Estimator'!$E$11:$Z$226,'Pre-Assessment Estimator'!$N$2,FALSE))</f>
        <v>0</v>
      </c>
      <c r="AK131" s="172">
        <f>IF(VLOOKUP(E131,'Pre-Assessment Estimator'!$E$11:$Z$226,'Pre-Assessment Estimator'!$U$2,FALSE)&gt;AB131,AB131,VLOOKUP(E131,'Pre-Assessment Estimator'!$E$11:$Z$226,'Pre-Assessment Estimator'!$U$2,FALSE))</f>
        <v>0</v>
      </c>
      <c r="AM131" s="292"/>
      <c r="AN131" s="293"/>
      <c r="AO131" s="293"/>
      <c r="AP131" s="293"/>
      <c r="AQ131" s="294"/>
      <c r="AR131" s="139"/>
      <c r="AS131" s="292"/>
      <c r="AT131" s="293"/>
      <c r="AU131" s="293"/>
      <c r="AV131" s="293"/>
      <c r="AW131" s="294"/>
      <c r="AY131" s="708"/>
      <c r="AZ131" s="709"/>
      <c r="BA131" s="709"/>
      <c r="BB131" s="709"/>
      <c r="BC131" s="717"/>
      <c r="BD131" s="182">
        <f t="shared" si="325"/>
        <v>9</v>
      </c>
      <c r="BE131" s="164" t="str">
        <f t="shared" si="308"/>
        <v>N/A</v>
      </c>
      <c r="BF131" s="185"/>
      <c r="BG131" s="182">
        <f t="shared" si="309"/>
        <v>9</v>
      </c>
      <c r="BH131" s="164" t="str">
        <f t="shared" si="310"/>
        <v>N/A</v>
      </c>
      <c r="BI131" s="185"/>
      <c r="BJ131" s="182">
        <f t="shared" si="326"/>
        <v>9</v>
      </c>
      <c r="BK131" s="164" t="str">
        <f t="shared" si="311"/>
        <v>N/A</v>
      </c>
      <c r="BL131" s="185"/>
      <c r="BO131" s="167"/>
      <c r="BP131" s="167"/>
      <c r="BQ131" s="167" t="str">
        <f t="shared" si="157"/>
        <v/>
      </c>
      <c r="BR131" s="167">
        <f t="shared" si="198"/>
        <v>9</v>
      </c>
      <c r="BS131" s="167">
        <f t="shared" si="199"/>
        <v>9</v>
      </c>
      <c r="BT131" s="167">
        <f t="shared" si="200"/>
        <v>9</v>
      </c>
      <c r="BW131" s="164"/>
      <c r="BX131" s="164"/>
      <c r="BY131" s="164"/>
      <c r="BZ131" s="164"/>
      <c r="CA131" s="164"/>
      <c r="CB131" s="164"/>
    </row>
    <row r="132" spans="1:85" x14ac:dyDescent="0.25">
      <c r="A132" s="96">
        <v>124</v>
      </c>
      <c r="B132" s="96" t="str">
        <f t="shared" ref="B132:B133" si="327">$D$130&amp;D132</f>
        <v>Mat 02b</v>
      </c>
      <c r="C132" s="96" t="str">
        <f t="shared" si="159"/>
        <v>Mat 02</v>
      </c>
      <c r="D132" s="188" t="s">
        <v>696</v>
      </c>
      <c r="E132" s="1123" t="s">
        <v>650</v>
      </c>
      <c r="F132" s="775">
        <v>1</v>
      </c>
      <c r="G132" s="775">
        <v>1</v>
      </c>
      <c r="H132" s="775">
        <v>1</v>
      </c>
      <c r="I132" s="775">
        <v>1</v>
      </c>
      <c r="J132" s="775">
        <v>1</v>
      </c>
      <c r="K132" s="775">
        <v>1</v>
      </c>
      <c r="L132" s="775">
        <v>1</v>
      </c>
      <c r="M132" s="775">
        <v>1</v>
      </c>
      <c r="N132" s="775">
        <v>1</v>
      </c>
      <c r="O132" s="775">
        <v>1</v>
      </c>
      <c r="P132" s="775">
        <v>1</v>
      </c>
      <c r="Q132" s="775">
        <v>1</v>
      </c>
      <c r="R132" s="775">
        <v>1</v>
      </c>
      <c r="T132" s="221">
        <f t="shared" si="298"/>
        <v>1</v>
      </c>
      <c r="U132" s="166"/>
      <c r="V132" s="167"/>
      <c r="W132" s="167"/>
      <c r="X132" s="167"/>
      <c r="Y132" s="168"/>
      <c r="Z132" s="168">
        <f>VLOOKUP(B132,'Manuell filtrering og justering'!$A$7:$H$253,'Manuell filtrering og justering'!$H$1,FALSE)</f>
        <v>1</v>
      </c>
      <c r="AA132" s="169">
        <f t="shared" si="300"/>
        <v>0</v>
      </c>
      <c r="AB132" s="170">
        <f>IF($AC$5='Manuell filtrering og justering'!$J$2,Z132,(T132-AA132))</f>
        <v>1</v>
      </c>
      <c r="AD132" s="171">
        <f t="shared" si="301"/>
        <v>8.0952380952380963E-3</v>
      </c>
      <c r="AE132" s="171">
        <f t="shared" si="312"/>
        <v>0</v>
      </c>
      <c r="AF132" s="171">
        <f t="shared" si="313"/>
        <v>0</v>
      </c>
      <c r="AG132" s="171">
        <f t="shared" si="314"/>
        <v>0</v>
      </c>
      <c r="AI132" s="172">
        <f>IF(VLOOKUP(E132,'Pre-Assessment Estimator'!$E$11:$Z$226,'Pre-Assessment Estimator'!$G$2,FALSE)&gt;AB132,AB132,VLOOKUP(E132,'Pre-Assessment Estimator'!$E$11:$Z$226,'Pre-Assessment Estimator'!$G$2,FALSE))</f>
        <v>0</v>
      </c>
      <c r="AJ132" s="172">
        <f>IF(VLOOKUP(E132,'Pre-Assessment Estimator'!$E$11:$Z$226,'Pre-Assessment Estimator'!$N$2,FALSE)&gt;AB132,AB132,VLOOKUP(E132,'Pre-Assessment Estimator'!$E$11:$Z$226,'Pre-Assessment Estimator'!$N$2,FALSE))</f>
        <v>0</v>
      </c>
      <c r="AK132" s="172">
        <f>IF(VLOOKUP(E132,'Pre-Assessment Estimator'!$E$11:$Z$226,'Pre-Assessment Estimator'!$U$2,FALSE)&gt;AB132,AB132,VLOOKUP(E132,'Pre-Assessment Estimator'!$E$11:$Z$226,'Pre-Assessment Estimator'!$U$2,FALSE))</f>
        <v>0</v>
      </c>
      <c r="AM132" s="292"/>
      <c r="AN132" s="293"/>
      <c r="AO132" s="293"/>
      <c r="AP132" s="293"/>
      <c r="AQ132" s="294"/>
      <c r="AR132" s="139"/>
      <c r="AS132" s="292"/>
      <c r="AT132" s="293"/>
      <c r="AU132" s="293"/>
      <c r="AV132" s="293"/>
      <c r="AW132" s="294"/>
      <c r="AY132" s="708"/>
      <c r="AZ132" s="709"/>
      <c r="BA132" s="709"/>
      <c r="BB132" s="709"/>
      <c r="BC132" s="717"/>
      <c r="BD132" s="182">
        <f t="shared" si="325"/>
        <v>9</v>
      </c>
      <c r="BE132" s="164" t="str">
        <f t="shared" si="308"/>
        <v>N/A</v>
      </c>
      <c r="BF132" s="185"/>
      <c r="BG132" s="182">
        <f t="shared" si="309"/>
        <v>9</v>
      </c>
      <c r="BH132" s="164" t="str">
        <f t="shared" si="310"/>
        <v>N/A</v>
      </c>
      <c r="BI132" s="185"/>
      <c r="BJ132" s="182">
        <f t="shared" si="326"/>
        <v>9</v>
      </c>
      <c r="BK132" s="164" t="str">
        <f t="shared" si="311"/>
        <v>N/A</v>
      </c>
      <c r="BL132" s="185"/>
      <c r="BO132" s="167"/>
      <c r="BP132" s="167"/>
      <c r="BQ132" s="167" t="str">
        <f t="shared" si="157"/>
        <v/>
      </c>
      <c r="BR132" s="167">
        <f t="shared" si="198"/>
        <v>9</v>
      </c>
      <c r="BS132" s="167">
        <f t="shared" si="199"/>
        <v>9</v>
      </c>
      <c r="BT132" s="167">
        <f t="shared" si="200"/>
        <v>9</v>
      </c>
      <c r="BW132" s="164"/>
      <c r="BX132" s="164"/>
      <c r="BY132" s="164"/>
      <c r="BZ132" s="164"/>
      <c r="CA132" s="164"/>
      <c r="CB132" s="164"/>
    </row>
    <row r="133" spans="1:85" x14ac:dyDescent="0.25">
      <c r="A133" s="96">
        <v>125</v>
      </c>
      <c r="B133" s="96" t="str">
        <f t="shared" si="327"/>
        <v>Mat 02c</v>
      </c>
      <c r="C133" s="96" t="str">
        <f t="shared" si="159"/>
        <v>Mat 02</v>
      </c>
      <c r="D133" s="188" t="s">
        <v>697</v>
      </c>
      <c r="E133" s="1123" t="s">
        <v>651</v>
      </c>
      <c r="F133" s="775">
        <v>2</v>
      </c>
      <c r="G133" s="775">
        <v>2</v>
      </c>
      <c r="H133" s="775">
        <v>2</v>
      </c>
      <c r="I133" s="775">
        <v>2</v>
      </c>
      <c r="J133" s="775">
        <v>2</v>
      </c>
      <c r="K133" s="775">
        <v>2</v>
      </c>
      <c r="L133" s="775">
        <v>2</v>
      </c>
      <c r="M133" s="775">
        <v>2</v>
      </c>
      <c r="N133" s="775">
        <v>2</v>
      </c>
      <c r="O133" s="775">
        <v>2</v>
      </c>
      <c r="P133" s="775">
        <v>2</v>
      </c>
      <c r="Q133" s="775">
        <v>2</v>
      </c>
      <c r="R133" s="775">
        <v>2</v>
      </c>
      <c r="T133" s="221">
        <f t="shared" si="298"/>
        <v>2</v>
      </c>
      <c r="U133" s="166"/>
      <c r="V133" s="167"/>
      <c r="W133" s="167"/>
      <c r="X133" s="167"/>
      <c r="Y133" s="168"/>
      <c r="Z133" s="168">
        <f>VLOOKUP(B133,'Manuell filtrering og justering'!$A$7:$H$253,'Manuell filtrering og justering'!$H$1,FALSE)</f>
        <v>2</v>
      </c>
      <c r="AA133" s="169">
        <f t="shared" si="300"/>
        <v>0</v>
      </c>
      <c r="AB133" s="170">
        <f>IF($AC$5='Manuell filtrering og justering'!$J$2,Z133,(T133-AA133))</f>
        <v>2</v>
      </c>
      <c r="AD133" s="171">
        <f t="shared" si="301"/>
        <v>1.6190476190476193E-2</v>
      </c>
      <c r="AE133" s="171">
        <f t="shared" si="312"/>
        <v>0</v>
      </c>
      <c r="AF133" s="171">
        <f t="shared" si="313"/>
        <v>0</v>
      </c>
      <c r="AG133" s="171">
        <f t="shared" si="314"/>
        <v>0</v>
      </c>
      <c r="AI133" s="172">
        <f>IF(VLOOKUP(E133,'Pre-Assessment Estimator'!$E$11:$Z$226,'Pre-Assessment Estimator'!$G$2,FALSE)&gt;AB133,AB133,VLOOKUP(E133,'Pre-Assessment Estimator'!$E$11:$Z$226,'Pre-Assessment Estimator'!$G$2,FALSE))</f>
        <v>0</v>
      </c>
      <c r="AJ133" s="172">
        <f>IF(VLOOKUP(E133,'Pre-Assessment Estimator'!$E$11:$Z$226,'Pre-Assessment Estimator'!$N$2,FALSE)&gt;AB133,AB133,VLOOKUP(E133,'Pre-Assessment Estimator'!$E$11:$Z$226,'Pre-Assessment Estimator'!$N$2,FALSE))</f>
        <v>0</v>
      </c>
      <c r="AK133" s="172">
        <f>IF(VLOOKUP(E133,'Pre-Assessment Estimator'!$E$11:$Z$226,'Pre-Assessment Estimator'!$U$2,FALSE)&gt;AB133,AB133,VLOOKUP(E133,'Pre-Assessment Estimator'!$E$11:$Z$226,'Pre-Assessment Estimator'!$U$2,FALSE))</f>
        <v>0</v>
      </c>
      <c r="AM133" s="292"/>
      <c r="AN133" s="293"/>
      <c r="AO133" s="293"/>
      <c r="AP133" s="293"/>
      <c r="AQ133" s="294"/>
      <c r="AR133" s="139"/>
      <c r="AS133" s="292"/>
      <c r="AT133" s="293"/>
      <c r="AU133" s="293"/>
      <c r="AV133" s="293"/>
      <c r="AW133" s="294"/>
      <c r="AY133" s="708"/>
      <c r="AZ133" s="709"/>
      <c r="BA133" s="709"/>
      <c r="BB133" s="709"/>
      <c r="BC133" s="717"/>
      <c r="BD133" s="182">
        <f t="shared" si="325"/>
        <v>9</v>
      </c>
      <c r="BE133" s="164" t="str">
        <f t="shared" si="308"/>
        <v>N/A</v>
      </c>
      <c r="BF133" s="185"/>
      <c r="BG133" s="182">
        <f t="shared" si="309"/>
        <v>9</v>
      </c>
      <c r="BH133" s="164" t="str">
        <f t="shared" si="310"/>
        <v>N/A</v>
      </c>
      <c r="BI133" s="185"/>
      <c r="BJ133" s="182">
        <f t="shared" si="326"/>
        <v>9</v>
      </c>
      <c r="BK133" s="164" t="str">
        <f t="shared" si="311"/>
        <v>N/A</v>
      </c>
      <c r="BL133" s="185"/>
      <c r="BO133" s="167"/>
      <c r="BP133" s="167"/>
      <c r="BQ133" s="167" t="str">
        <f t="shared" si="157"/>
        <v/>
      </c>
      <c r="BR133" s="167">
        <f t="shared" si="198"/>
        <v>9</v>
      </c>
      <c r="BS133" s="167">
        <f t="shared" si="199"/>
        <v>9</v>
      </c>
      <c r="BT133" s="167">
        <f t="shared" si="200"/>
        <v>9</v>
      </c>
      <c r="BW133" s="164"/>
      <c r="BX133" s="164"/>
      <c r="BY133" s="164"/>
      <c r="BZ133" s="164"/>
      <c r="CA133" s="164"/>
      <c r="CB133" s="164"/>
    </row>
    <row r="134" spans="1:85" x14ac:dyDescent="0.25">
      <c r="A134" s="96">
        <v>126</v>
      </c>
      <c r="B134" s="137" t="str">
        <f>D134</f>
        <v>Mat 03</v>
      </c>
      <c r="C134" s="137" t="str">
        <f>B134</f>
        <v>Mat 03</v>
      </c>
      <c r="D134" s="946" t="s">
        <v>174</v>
      </c>
      <c r="E134" s="832" t="s">
        <v>465</v>
      </c>
      <c r="F134" s="933">
        <f>SUM(F135:F137)</f>
        <v>3</v>
      </c>
      <c r="G134" s="933">
        <f t="shared" ref="G134:R134" si="328">SUM(G135:G137)</f>
        <v>3</v>
      </c>
      <c r="H134" s="933">
        <f t="shared" si="328"/>
        <v>3</v>
      </c>
      <c r="I134" s="933">
        <f t="shared" si="328"/>
        <v>3</v>
      </c>
      <c r="J134" s="933">
        <f t="shared" si="328"/>
        <v>3</v>
      </c>
      <c r="K134" s="933">
        <f t="shared" si="328"/>
        <v>3</v>
      </c>
      <c r="L134" s="933">
        <f t="shared" si="328"/>
        <v>3</v>
      </c>
      <c r="M134" s="933">
        <f t="shared" si="328"/>
        <v>3</v>
      </c>
      <c r="N134" s="933">
        <f t="shared" si="328"/>
        <v>3</v>
      </c>
      <c r="O134" s="933">
        <f t="shared" si="328"/>
        <v>3</v>
      </c>
      <c r="P134" s="933">
        <f t="shared" si="328"/>
        <v>3</v>
      </c>
      <c r="Q134" s="933">
        <f t="shared" ref="Q134" si="329">SUM(Q135:Q137)</f>
        <v>3</v>
      </c>
      <c r="R134" s="933">
        <f t="shared" si="328"/>
        <v>3</v>
      </c>
      <c r="S134" s="667"/>
      <c r="T134" s="963">
        <f t="shared" si="298"/>
        <v>3</v>
      </c>
      <c r="U134" s="222"/>
      <c r="V134" s="230"/>
      <c r="W134" s="230"/>
      <c r="X134" s="230">
        <f>'Manuell filtrering og justering'!E61</f>
        <v>0</v>
      </c>
      <c r="Y134" s="230"/>
      <c r="Z134" s="958">
        <f t="shared" ref="Z134" si="330">SUM(Z135:Z137)</f>
        <v>3</v>
      </c>
      <c r="AA134" s="963">
        <f t="shared" si="300"/>
        <v>0</v>
      </c>
      <c r="AB134" s="1066">
        <f>SUM(AB135:AB137)</f>
        <v>3</v>
      </c>
      <c r="AD134" s="171">
        <f t="shared" si="301"/>
        <v>2.4285714285714289E-2</v>
      </c>
      <c r="AE134" s="921">
        <f>SUM(AE135:AE137)</f>
        <v>0</v>
      </c>
      <c r="AF134" s="921">
        <f t="shared" ref="AF134" si="331">SUM(AF135:AF137)</f>
        <v>0</v>
      </c>
      <c r="AG134" s="921">
        <f t="shared" ref="AG134" si="332">SUM(AG135:AG137)</f>
        <v>0</v>
      </c>
      <c r="AI134" s="958">
        <f t="shared" ref="AI134" si="333">SUM(AI135:AI137)</f>
        <v>0</v>
      </c>
      <c r="AJ134" s="958">
        <f t="shared" ref="AJ134" si="334">SUM(AJ135:AJ137)</f>
        <v>0</v>
      </c>
      <c r="AK134" s="958">
        <f t="shared" ref="AK134" si="335">SUM(AK135:AK137)</f>
        <v>0</v>
      </c>
      <c r="AM134" s="292"/>
      <c r="AN134" s="293"/>
      <c r="AO134" s="293"/>
      <c r="AP134" s="293"/>
      <c r="AQ134" s="294"/>
      <c r="AR134" s="139"/>
      <c r="AS134" s="292"/>
      <c r="AT134" s="293"/>
      <c r="AU134" s="293"/>
      <c r="AV134" s="293"/>
      <c r="AW134" s="294"/>
      <c r="AY134" s="188"/>
      <c r="AZ134" s="189"/>
      <c r="BA134" s="189"/>
      <c r="BB134" s="189"/>
      <c r="BC134" s="717"/>
      <c r="BD134" s="182">
        <f t="shared" ref="BD134:BD147" si="336">IF(BC134=0,9,IF(AI134&gt;=BC134,5,IF(AI134&gt;=BB134,4,IF(AI134&gt;=BA134,3,IF(AI134&gt;=AZ134,2,IF(AI134&lt;AY134,0,1))))))</f>
        <v>9</v>
      </c>
      <c r="BE134" s="164" t="str">
        <f t="shared" si="308"/>
        <v>N/A</v>
      </c>
      <c r="BF134" s="185"/>
      <c r="BG134" s="182">
        <f t="shared" ref="BG134:BG147" si="337">IF(BC134=0,9,IF(AJ134&gt;=BC134,5,IF(AJ134&gt;=BB134,4,IF(AJ134&gt;=BA134,3,IF(AJ134&gt;=AZ134,2,IF(AJ134&lt;AY134,0,1))))))</f>
        <v>9</v>
      </c>
      <c r="BH134" s="164" t="str">
        <f t="shared" si="310"/>
        <v>N/A</v>
      </c>
      <c r="BI134" s="185"/>
      <c r="BJ134" s="182">
        <f t="shared" ref="BJ134:BJ147" si="338">IF(BC134=0,9,IF(AK134&gt;=BC134,5,IF(AK134&gt;=BB134,4,IF(AK134&gt;=BA134,3,IF(AK134&gt;=AZ134,2,IF(AK134&lt;AY134,0,1))))))</f>
        <v>9</v>
      </c>
      <c r="BK134" s="164" t="str">
        <f t="shared" si="311"/>
        <v>N/A</v>
      </c>
      <c r="BL134" s="185"/>
      <c r="BO134" s="167"/>
      <c r="BP134" s="167"/>
      <c r="BQ134" s="167" t="str">
        <f t="shared" si="157"/>
        <v/>
      </c>
      <c r="BR134" s="167">
        <f t="shared" si="198"/>
        <v>9</v>
      </c>
      <c r="BS134" s="167">
        <f t="shared" si="199"/>
        <v>9</v>
      </c>
      <c r="BT134" s="167">
        <f t="shared" si="200"/>
        <v>9</v>
      </c>
      <c r="BW134" s="167" t="str">
        <f>D134</f>
        <v>Mat 03</v>
      </c>
      <c r="BX134" s="167" t="str">
        <f>IFERROR(VLOOKUP($E134,'Pre-Assessment Estimator'!$E$11:$AB$226,'Pre-Assessment Estimator'!AB$2,FALSE),"")</f>
        <v>N/A</v>
      </c>
      <c r="BY134" s="167">
        <f>IFERROR(VLOOKUP($E134,'Pre-Assessment Estimator'!$E$11:$AI$226,'Pre-Assessment Estimator'!AI$2,FALSE),"")</f>
        <v>0</v>
      </c>
      <c r="BZ134" s="167">
        <f>IFERROR(VLOOKUP($BX134,$E$293:$H$326,F$291,FALSE),"")</f>
        <v>1</v>
      </c>
      <c r="CA134" s="167">
        <f>IFERROR(VLOOKUP($BX134,$E$293:$H$326,G$291,FALSE),"")</f>
        <v>0</v>
      </c>
      <c r="CB134" s="167"/>
      <c r="CC134" s="96" t="s">
        <v>430</v>
      </c>
    </row>
    <row r="135" spans="1:85" x14ac:dyDescent="0.25">
      <c r="A135" s="96">
        <v>127</v>
      </c>
      <c r="C135" s="96" t="str">
        <f t="shared" si="159"/>
        <v>Mat 03</v>
      </c>
      <c r="D135" s="188" t="s">
        <v>693</v>
      </c>
      <c r="E135" s="945" t="s">
        <v>982</v>
      </c>
      <c r="F135" s="775"/>
      <c r="G135" s="775"/>
      <c r="H135" s="775"/>
      <c r="I135" s="775"/>
      <c r="J135" s="775"/>
      <c r="K135" s="775"/>
      <c r="L135" s="775"/>
      <c r="M135" s="775"/>
      <c r="N135" s="775"/>
      <c r="O135" s="775"/>
      <c r="P135" s="775"/>
      <c r="Q135" s="775"/>
      <c r="R135" s="775"/>
      <c r="S135" s="667"/>
      <c r="T135" s="221">
        <f t="shared" si="298"/>
        <v>0</v>
      </c>
      <c r="U135" s="166"/>
      <c r="V135" s="167"/>
      <c r="W135" s="167"/>
      <c r="X135" s="167"/>
      <c r="Y135" s="168"/>
      <c r="Z135" s="168"/>
      <c r="AA135" s="169">
        <f t="shared" si="300"/>
        <v>0</v>
      </c>
      <c r="AB135" s="170">
        <f>IF($AC$5='Manuell filtrering og justering'!$J$2,Z135,(T135-AA135))</f>
        <v>0</v>
      </c>
      <c r="AD135" s="171">
        <f t="shared" si="301"/>
        <v>0</v>
      </c>
      <c r="AE135" s="171">
        <f t="shared" si="312"/>
        <v>0</v>
      </c>
      <c r="AF135" s="171">
        <f t="shared" si="313"/>
        <v>0</v>
      </c>
      <c r="AG135" s="171">
        <f t="shared" si="314"/>
        <v>0</v>
      </c>
      <c r="AI135" s="172">
        <f>IF(VLOOKUP(E135,'Pre-Assessment Estimator'!$E$11:$Z$226,'Pre-Assessment Estimator'!$G$2,FALSE)&gt;AB135,AB135,VLOOKUP(E135,'Pre-Assessment Estimator'!$E$11:$Z$226,'Pre-Assessment Estimator'!$G$2,FALSE))</f>
        <v>0</v>
      </c>
      <c r="AJ135" s="172">
        <f>IF(VLOOKUP(E135,'Pre-Assessment Estimator'!$E$11:$Z$226,'Pre-Assessment Estimator'!$N$2,FALSE)&gt;AB135,AB135,VLOOKUP(E135,'Pre-Assessment Estimator'!$E$11:$Z$226,'Pre-Assessment Estimator'!$N$2,FALSE))</f>
        <v>0</v>
      </c>
      <c r="AK135" s="172">
        <f>IF(VLOOKUP(E135,'Pre-Assessment Estimator'!$E$11:$Z$226,'Pre-Assessment Estimator'!$U$2,FALSE)&gt;AB135,AB135,VLOOKUP(E135,'Pre-Assessment Estimator'!$E$11:$Z$226,'Pre-Assessment Estimator'!$U$2,FALSE))</f>
        <v>0</v>
      </c>
      <c r="AM135" s="292"/>
      <c r="AN135" s="293"/>
      <c r="AO135" s="293"/>
      <c r="AP135" s="293"/>
      <c r="AQ135" s="294"/>
      <c r="AR135" s="139"/>
      <c r="AS135" s="292"/>
      <c r="AT135" s="293"/>
      <c r="AU135" s="293"/>
      <c r="AV135" s="293"/>
      <c r="AW135" s="294"/>
      <c r="AY135" s="188"/>
      <c r="AZ135" s="189"/>
      <c r="BA135" s="189"/>
      <c r="BB135" s="189"/>
      <c r="BC135" s="717"/>
      <c r="BD135" s="182">
        <f t="shared" si="336"/>
        <v>9</v>
      </c>
      <c r="BE135" s="164" t="str">
        <f t="shared" si="308"/>
        <v>N/A</v>
      </c>
      <c r="BF135" s="185"/>
      <c r="BG135" s="182">
        <f t="shared" si="337"/>
        <v>9</v>
      </c>
      <c r="BH135" s="164" t="str">
        <f t="shared" si="310"/>
        <v>N/A</v>
      </c>
      <c r="BI135" s="185"/>
      <c r="BJ135" s="182">
        <f t="shared" si="338"/>
        <v>9</v>
      </c>
      <c r="BK135" s="164" t="str">
        <f t="shared" si="311"/>
        <v>N/A</v>
      </c>
      <c r="BL135" s="185"/>
      <c r="BO135" s="167"/>
      <c r="BP135" s="167"/>
      <c r="BQ135" s="167" t="str">
        <f t="shared" si="157"/>
        <v/>
      </c>
      <c r="BR135" s="167">
        <f t="shared" si="198"/>
        <v>9</v>
      </c>
      <c r="BS135" s="167">
        <f t="shared" si="199"/>
        <v>9</v>
      </c>
      <c r="BT135" s="167">
        <f t="shared" si="200"/>
        <v>9</v>
      </c>
      <c r="BW135" s="167"/>
      <c r="BX135" s="167"/>
      <c r="BY135" s="167"/>
      <c r="BZ135" s="167"/>
      <c r="CA135" s="99"/>
      <c r="CB135" s="167"/>
    </row>
    <row r="136" spans="1:85" x14ac:dyDescent="0.25">
      <c r="A136" s="96">
        <v>128</v>
      </c>
      <c r="B136" s="96" t="str">
        <f t="shared" ref="B136:B137" si="339">$D$134&amp;D136</f>
        <v>Mat 03b</v>
      </c>
      <c r="C136" s="96" t="str">
        <f t="shared" si="159"/>
        <v>Mat 03</v>
      </c>
      <c r="D136" s="188" t="s">
        <v>696</v>
      </c>
      <c r="E136" s="1123" t="s">
        <v>653</v>
      </c>
      <c r="F136" s="775">
        <v>1</v>
      </c>
      <c r="G136" s="775">
        <v>1</v>
      </c>
      <c r="H136" s="775">
        <v>1</v>
      </c>
      <c r="I136" s="775">
        <v>1</v>
      </c>
      <c r="J136" s="775">
        <v>1</v>
      </c>
      <c r="K136" s="775">
        <v>1</v>
      </c>
      <c r="L136" s="775">
        <v>1</v>
      </c>
      <c r="M136" s="775">
        <v>1</v>
      </c>
      <c r="N136" s="775">
        <v>1</v>
      </c>
      <c r="O136" s="775">
        <v>1</v>
      </c>
      <c r="P136" s="775">
        <v>1</v>
      </c>
      <c r="Q136" s="775">
        <v>1</v>
      </c>
      <c r="R136" s="775">
        <v>1</v>
      </c>
      <c r="S136" s="667"/>
      <c r="T136" s="221">
        <f t="shared" si="298"/>
        <v>1</v>
      </c>
      <c r="U136" s="166"/>
      <c r="V136" s="167"/>
      <c r="W136" s="167"/>
      <c r="X136" s="167"/>
      <c r="Y136" s="168"/>
      <c r="Z136" s="168">
        <f>VLOOKUP(B136,'Manuell filtrering og justering'!$A$7:$H$253,'Manuell filtrering og justering'!$H$1,FALSE)</f>
        <v>1</v>
      </c>
      <c r="AA136" s="169">
        <f t="shared" si="300"/>
        <v>0</v>
      </c>
      <c r="AB136" s="170">
        <f>IF($AC$5='Manuell filtrering og justering'!$J$2,Z136,(T136-AA136))</f>
        <v>1</v>
      </c>
      <c r="AD136" s="171">
        <f t="shared" si="301"/>
        <v>8.0952380952380963E-3</v>
      </c>
      <c r="AE136" s="171">
        <f t="shared" si="312"/>
        <v>0</v>
      </c>
      <c r="AF136" s="171">
        <f t="shared" si="313"/>
        <v>0</v>
      </c>
      <c r="AG136" s="171">
        <f t="shared" si="314"/>
        <v>0</v>
      </c>
      <c r="AI136" s="172">
        <f>IF(VLOOKUP(E136,'Pre-Assessment Estimator'!$E$11:$Z$226,'Pre-Assessment Estimator'!$G$2,FALSE)&gt;AB136,AB136,VLOOKUP(E136,'Pre-Assessment Estimator'!$E$11:$Z$226,'Pre-Assessment Estimator'!$G$2,FALSE))</f>
        <v>0</v>
      </c>
      <c r="AJ136" s="172">
        <f>IF(VLOOKUP(E136,'Pre-Assessment Estimator'!$E$11:$Z$226,'Pre-Assessment Estimator'!$N$2,FALSE)&gt;AB136,AB136,VLOOKUP(E136,'Pre-Assessment Estimator'!$E$11:$Z$226,'Pre-Assessment Estimator'!$N$2,FALSE))</f>
        <v>0</v>
      </c>
      <c r="AK136" s="172">
        <f>IF(VLOOKUP(E136,'Pre-Assessment Estimator'!$E$11:$Z$226,'Pre-Assessment Estimator'!$U$2,FALSE)&gt;AB136,AB136,VLOOKUP(E136,'Pre-Assessment Estimator'!$E$11:$Z$226,'Pre-Assessment Estimator'!$U$2,FALSE))</f>
        <v>0</v>
      </c>
      <c r="AM136" s="292"/>
      <c r="AN136" s="293"/>
      <c r="AO136" s="293"/>
      <c r="AP136" s="293"/>
      <c r="AQ136" s="294"/>
      <c r="AR136" s="139"/>
      <c r="AS136" s="292"/>
      <c r="AT136" s="293"/>
      <c r="AU136" s="293"/>
      <c r="AV136" s="293"/>
      <c r="AW136" s="294"/>
      <c r="AY136" s="188"/>
      <c r="AZ136" s="189"/>
      <c r="BA136" s="189"/>
      <c r="BB136" s="189"/>
      <c r="BC136" s="717"/>
      <c r="BD136" s="182">
        <f t="shared" si="336"/>
        <v>9</v>
      </c>
      <c r="BE136" s="164" t="str">
        <f t="shared" si="308"/>
        <v>N/A</v>
      </c>
      <c r="BF136" s="185"/>
      <c r="BG136" s="182">
        <f t="shared" si="337"/>
        <v>9</v>
      </c>
      <c r="BH136" s="164" t="str">
        <f t="shared" si="310"/>
        <v>N/A</v>
      </c>
      <c r="BI136" s="185"/>
      <c r="BJ136" s="182">
        <f t="shared" si="338"/>
        <v>9</v>
      </c>
      <c r="BK136" s="164" t="str">
        <f t="shared" si="311"/>
        <v>N/A</v>
      </c>
      <c r="BL136" s="185"/>
      <c r="BO136" s="167"/>
      <c r="BP136" s="167"/>
      <c r="BQ136" s="167" t="str">
        <f t="shared" si="157"/>
        <v/>
      </c>
      <c r="BR136" s="167">
        <f t="shared" si="198"/>
        <v>9</v>
      </c>
      <c r="BS136" s="167">
        <f t="shared" si="199"/>
        <v>9</v>
      </c>
      <c r="BT136" s="167">
        <f t="shared" si="200"/>
        <v>9</v>
      </c>
      <c r="BW136" s="167"/>
      <c r="BX136" s="167"/>
      <c r="BY136" s="167"/>
      <c r="BZ136" s="167"/>
      <c r="CA136" s="99"/>
      <c r="CB136" s="167"/>
    </row>
    <row r="137" spans="1:85" x14ac:dyDescent="0.25">
      <c r="A137" s="96">
        <v>129</v>
      </c>
      <c r="B137" s="96" t="str">
        <f t="shared" si="339"/>
        <v>Mat 03c</v>
      </c>
      <c r="C137" s="96" t="str">
        <f t="shared" si="159"/>
        <v>Mat 03</v>
      </c>
      <c r="D137" s="188" t="s">
        <v>697</v>
      </c>
      <c r="E137" s="1123" t="s">
        <v>654</v>
      </c>
      <c r="F137" s="775">
        <v>2</v>
      </c>
      <c r="G137" s="775">
        <v>2</v>
      </c>
      <c r="H137" s="775">
        <v>2</v>
      </c>
      <c r="I137" s="775">
        <v>2</v>
      </c>
      <c r="J137" s="775">
        <v>2</v>
      </c>
      <c r="K137" s="775">
        <v>2</v>
      </c>
      <c r="L137" s="775">
        <v>2</v>
      </c>
      <c r="M137" s="775">
        <v>2</v>
      </c>
      <c r="N137" s="775">
        <v>2</v>
      </c>
      <c r="O137" s="775">
        <v>2</v>
      </c>
      <c r="P137" s="775">
        <v>2</v>
      </c>
      <c r="Q137" s="775">
        <v>2</v>
      </c>
      <c r="R137" s="775">
        <v>2</v>
      </c>
      <c r="S137" s="667"/>
      <c r="T137" s="221">
        <f t="shared" si="298"/>
        <v>2</v>
      </c>
      <c r="U137" s="166"/>
      <c r="V137" s="167"/>
      <c r="W137" s="167"/>
      <c r="X137" s="167"/>
      <c r="Y137" s="168"/>
      <c r="Z137" s="168">
        <f>VLOOKUP(B137,'Manuell filtrering og justering'!$A$7:$H$253,'Manuell filtrering og justering'!$H$1,FALSE)</f>
        <v>2</v>
      </c>
      <c r="AA137" s="169">
        <f t="shared" si="300"/>
        <v>0</v>
      </c>
      <c r="AB137" s="170">
        <f>IF($AC$5='Manuell filtrering og justering'!$J$2,Z137,(T137-AA137))</f>
        <v>2</v>
      </c>
      <c r="AD137" s="171">
        <f t="shared" si="301"/>
        <v>1.6190476190476193E-2</v>
      </c>
      <c r="AE137" s="171">
        <f t="shared" si="312"/>
        <v>0</v>
      </c>
      <c r="AF137" s="171">
        <f t="shared" si="313"/>
        <v>0</v>
      </c>
      <c r="AG137" s="171">
        <f t="shared" si="314"/>
        <v>0</v>
      </c>
      <c r="AI137" s="172">
        <f>IF(VLOOKUP(E137,'Pre-Assessment Estimator'!$E$11:$Z$226,'Pre-Assessment Estimator'!$G$2,FALSE)&gt;AB137,AB137,VLOOKUP(E137,'Pre-Assessment Estimator'!$E$11:$Z$226,'Pre-Assessment Estimator'!$G$2,FALSE))</f>
        <v>0</v>
      </c>
      <c r="AJ137" s="172">
        <f>IF(VLOOKUP(E137,'Pre-Assessment Estimator'!$E$11:$Z$226,'Pre-Assessment Estimator'!$N$2,FALSE)&gt;AB137,AB137,VLOOKUP(E137,'Pre-Assessment Estimator'!$E$11:$Z$226,'Pre-Assessment Estimator'!$N$2,FALSE))</f>
        <v>0</v>
      </c>
      <c r="AK137" s="172">
        <f>IF(VLOOKUP(E137,'Pre-Assessment Estimator'!$E$11:$Z$226,'Pre-Assessment Estimator'!$U$2,FALSE)&gt;AB137,AB137,VLOOKUP(E137,'Pre-Assessment Estimator'!$E$11:$Z$226,'Pre-Assessment Estimator'!$U$2,FALSE))</f>
        <v>0</v>
      </c>
      <c r="AM137" s="292"/>
      <c r="AN137" s="293"/>
      <c r="AO137" s="293"/>
      <c r="AP137" s="293"/>
      <c r="AQ137" s="294"/>
      <c r="AR137" s="139"/>
      <c r="AS137" s="292"/>
      <c r="AT137" s="293"/>
      <c r="AU137" s="293"/>
      <c r="AV137" s="293"/>
      <c r="AW137" s="294"/>
      <c r="AY137" s="188"/>
      <c r="AZ137" s="189"/>
      <c r="BA137" s="189"/>
      <c r="BB137" s="189"/>
      <c r="BC137" s="717"/>
      <c r="BD137" s="182">
        <f t="shared" si="336"/>
        <v>9</v>
      </c>
      <c r="BE137" s="164" t="str">
        <f t="shared" si="308"/>
        <v>N/A</v>
      </c>
      <c r="BF137" s="185"/>
      <c r="BG137" s="182">
        <f t="shared" si="337"/>
        <v>9</v>
      </c>
      <c r="BH137" s="164" t="str">
        <f t="shared" si="310"/>
        <v>N/A</v>
      </c>
      <c r="BI137" s="185"/>
      <c r="BJ137" s="182">
        <f t="shared" si="338"/>
        <v>9</v>
      </c>
      <c r="BK137" s="164" t="str">
        <f t="shared" si="311"/>
        <v>N/A</v>
      </c>
      <c r="BL137" s="185"/>
      <c r="BO137" s="167"/>
      <c r="BP137" s="167"/>
      <c r="BQ137" s="167" t="str">
        <f t="shared" si="157"/>
        <v/>
      </c>
      <c r="BR137" s="167">
        <f t="shared" si="198"/>
        <v>9</v>
      </c>
      <c r="BS137" s="167">
        <f t="shared" si="199"/>
        <v>9</v>
      </c>
      <c r="BT137" s="167">
        <f t="shared" si="200"/>
        <v>9</v>
      </c>
      <c r="BW137" s="167"/>
      <c r="BX137" s="167"/>
      <c r="BY137" s="167"/>
      <c r="BZ137" s="167"/>
      <c r="CA137" s="99"/>
      <c r="CB137" s="167"/>
    </row>
    <row r="138" spans="1:85" x14ac:dyDescent="0.25">
      <c r="A138" s="96">
        <v>130</v>
      </c>
      <c r="B138" s="137" t="str">
        <f>D138</f>
        <v>Mat 05</v>
      </c>
      <c r="C138" s="137" t="str">
        <f>B138</f>
        <v>Mat 05</v>
      </c>
      <c r="D138" s="946" t="s">
        <v>175</v>
      </c>
      <c r="E138" s="832" t="s">
        <v>958</v>
      </c>
      <c r="F138" s="933">
        <f>SUM(F139:F143)</f>
        <v>4</v>
      </c>
      <c r="G138" s="933">
        <f t="shared" ref="G138:R138" si="340">SUM(G139:G143)</f>
        <v>4</v>
      </c>
      <c r="H138" s="933">
        <f t="shared" si="340"/>
        <v>4</v>
      </c>
      <c r="I138" s="933">
        <f t="shared" si="340"/>
        <v>4</v>
      </c>
      <c r="J138" s="933">
        <f t="shared" si="340"/>
        <v>4</v>
      </c>
      <c r="K138" s="933">
        <f t="shared" si="340"/>
        <v>4</v>
      </c>
      <c r="L138" s="933">
        <f t="shared" si="340"/>
        <v>4</v>
      </c>
      <c r="M138" s="933">
        <f t="shared" si="340"/>
        <v>4</v>
      </c>
      <c r="N138" s="933">
        <f t="shared" si="340"/>
        <v>4</v>
      </c>
      <c r="O138" s="933">
        <f t="shared" si="340"/>
        <v>4</v>
      </c>
      <c r="P138" s="933">
        <f t="shared" si="340"/>
        <v>4</v>
      </c>
      <c r="Q138" s="933">
        <f t="shared" ref="Q138" si="341">SUM(Q139:Q143)</f>
        <v>4</v>
      </c>
      <c r="R138" s="933">
        <f t="shared" si="340"/>
        <v>4</v>
      </c>
      <c r="S138" s="667"/>
      <c r="T138" s="963">
        <f t="shared" si="298"/>
        <v>4</v>
      </c>
      <c r="U138" s="222"/>
      <c r="V138" s="230"/>
      <c r="W138" s="230"/>
      <c r="X138" s="230">
        <f>'Manuell filtrering og justering'!E62</f>
        <v>0</v>
      </c>
      <c r="Y138" s="230"/>
      <c r="Z138" s="958">
        <f>SUM(Z139:Z143)</f>
        <v>4</v>
      </c>
      <c r="AA138" s="963">
        <f t="shared" si="300"/>
        <v>0</v>
      </c>
      <c r="AB138" s="1066">
        <f>SUM(AB139:AB143)</f>
        <v>4</v>
      </c>
      <c r="AD138" s="171">
        <f t="shared" si="301"/>
        <v>3.2380952380952385E-2</v>
      </c>
      <c r="AE138" s="921">
        <f>SUM(AE139:AE143)</f>
        <v>0</v>
      </c>
      <c r="AF138" s="921">
        <f>SUM(AF139:AF143)</f>
        <v>0</v>
      </c>
      <c r="AG138" s="921">
        <f>SUM(AG139:AG143)</f>
        <v>0</v>
      </c>
      <c r="AI138" s="958">
        <f>SUM(AI139:AI143)</f>
        <v>0</v>
      </c>
      <c r="AJ138" s="958">
        <f>SUM(AJ139:AJ143)</f>
        <v>0</v>
      </c>
      <c r="AK138" s="958">
        <f>SUM(AK139:AK143)</f>
        <v>0</v>
      </c>
      <c r="AL138" s="96" t="s">
        <v>426</v>
      </c>
      <c r="AM138" s="292"/>
      <c r="AN138" s="293"/>
      <c r="AO138" s="293"/>
      <c r="AP138" s="293"/>
      <c r="AQ138" s="294"/>
      <c r="AR138" s="139"/>
      <c r="AS138" s="292"/>
      <c r="AT138" s="293"/>
      <c r="AU138" s="293"/>
      <c r="AV138" s="293"/>
      <c r="AW138" s="294"/>
      <c r="AY138" s="188"/>
      <c r="AZ138" s="189"/>
      <c r="BA138" s="189"/>
      <c r="BB138" s="189"/>
      <c r="BC138" s="717"/>
      <c r="BD138" s="182">
        <f t="shared" si="336"/>
        <v>9</v>
      </c>
      <c r="BE138" s="164" t="str">
        <f t="shared" si="308"/>
        <v>N/A</v>
      </c>
      <c r="BF138" s="185"/>
      <c r="BG138" s="182">
        <f t="shared" si="337"/>
        <v>9</v>
      </c>
      <c r="BH138" s="164" t="str">
        <f t="shared" si="310"/>
        <v>N/A</v>
      </c>
      <c r="BI138" s="185"/>
      <c r="BJ138" s="182">
        <f t="shared" si="338"/>
        <v>9</v>
      </c>
      <c r="BK138" s="164" t="str">
        <f t="shared" si="311"/>
        <v>N/A</v>
      </c>
      <c r="BL138" s="185"/>
      <c r="BO138" s="167"/>
      <c r="BP138" s="167"/>
      <c r="BQ138" s="167" t="str">
        <f t="shared" si="157"/>
        <v/>
      </c>
      <c r="BR138" s="167">
        <f t="shared" si="198"/>
        <v>9</v>
      </c>
      <c r="BS138" s="167">
        <f t="shared" si="199"/>
        <v>9</v>
      </c>
      <c r="BT138" s="167">
        <f t="shared" si="200"/>
        <v>9</v>
      </c>
      <c r="BW138" s="167" t="str">
        <f>D138</f>
        <v>Mat 05</v>
      </c>
      <c r="BX138" s="167" t="str">
        <f>IFERROR(VLOOKUP($E138,'Pre-Assessment Estimator'!$E$11:$AB$226,'Pre-Assessment Estimator'!AB$2,FALSE),"")</f>
        <v>No</v>
      </c>
      <c r="BY138" s="230" t="str">
        <f>IFERROR(VLOOKUP($E138,'Pre-Assessment Estimator'!$E$11:$AI$226,'Pre-Assessment Estimator'!AI$2,FALSE),"")</f>
        <v>Ja</v>
      </c>
      <c r="BZ138" s="167">
        <f>IFERROR(VLOOKUP($BX138,$E$293:$H$326,F$291,FALSE),"")</f>
        <v>1</v>
      </c>
      <c r="CA138" s="680" t="s">
        <v>431</v>
      </c>
      <c r="CB138" s="167"/>
      <c r="CC138" s="96" t="str">
        <f>IFERROR(VLOOKUP($BX138,$E$293:$H$326,I$291,FALSE),"")</f>
        <v/>
      </c>
      <c r="CD138" s="96" t="s">
        <v>437</v>
      </c>
      <c r="CE138" s="167">
        <f>VLOOKUP(CA138,$CA$4:$CB$5,2,FALSE)</f>
        <v>1</v>
      </c>
      <c r="CG138" s="681">
        <f>IF($BX$5=ais_nei,CE138,IF(AND(CA138=$CA$4,BX138=$CC$4),0,BZ138))</f>
        <v>1</v>
      </c>
    </row>
    <row r="139" spans="1:85" x14ac:dyDescent="0.25">
      <c r="A139" s="96">
        <v>131</v>
      </c>
      <c r="C139" s="96" t="str">
        <f t="shared" si="159"/>
        <v>Mat 05</v>
      </c>
      <c r="D139" s="188" t="s">
        <v>693</v>
      </c>
      <c r="E139" s="940" t="s">
        <v>655</v>
      </c>
      <c r="F139" s="775"/>
      <c r="G139" s="775"/>
      <c r="H139" s="775"/>
      <c r="I139" s="775"/>
      <c r="J139" s="775"/>
      <c r="K139" s="775"/>
      <c r="L139" s="775"/>
      <c r="M139" s="775"/>
      <c r="N139" s="775"/>
      <c r="O139" s="775"/>
      <c r="P139" s="775"/>
      <c r="Q139" s="775"/>
      <c r="R139" s="775"/>
      <c r="S139" s="667"/>
      <c r="T139" s="221">
        <f t="shared" si="298"/>
        <v>0</v>
      </c>
      <c r="U139" s="166"/>
      <c r="V139" s="167"/>
      <c r="W139" s="167"/>
      <c r="X139" s="167"/>
      <c r="Y139" s="168"/>
      <c r="Z139" s="168"/>
      <c r="AA139" s="169">
        <f t="shared" si="300"/>
        <v>0</v>
      </c>
      <c r="AB139" s="170">
        <f>IF($AC$5='Manuell filtrering og justering'!$J$2,Z139,(T139-AA139))</f>
        <v>0</v>
      </c>
      <c r="AD139" s="171">
        <f t="shared" si="301"/>
        <v>0</v>
      </c>
      <c r="AE139" s="171">
        <f t="shared" si="312"/>
        <v>0</v>
      </c>
      <c r="AF139" s="171">
        <f t="shared" si="313"/>
        <v>0</v>
      </c>
      <c r="AG139" s="171">
        <f t="shared" si="314"/>
        <v>0</v>
      </c>
      <c r="AI139" s="172">
        <f>IF(VLOOKUP(E139,'Pre-Assessment Estimator'!$E$11:$Z$226,'Pre-Assessment Estimator'!$G$2,FALSE)&gt;AB139,AB139,VLOOKUP(E139,'Pre-Assessment Estimator'!$E$11:$Z$226,'Pre-Assessment Estimator'!$G$2,FALSE))</f>
        <v>0</v>
      </c>
      <c r="AJ139" s="172">
        <f>IF(VLOOKUP(E139,'Pre-Assessment Estimator'!$E$11:$Z$226,'Pre-Assessment Estimator'!$N$2,FALSE)&gt;AB139,AB139,VLOOKUP(E139,'Pre-Assessment Estimator'!$E$11:$Z$226,'Pre-Assessment Estimator'!$N$2,FALSE))</f>
        <v>0</v>
      </c>
      <c r="AK139" s="172">
        <f>IF(VLOOKUP(E139,'Pre-Assessment Estimator'!$E$11:$Z$226,'Pre-Assessment Estimator'!$U$2,FALSE)&gt;AB139,AB139,VLOOKUP(E139,'Pre-Assessment Estimator'!$E$11:$Z$226,'Pre-Assessment Estimator'!$U$2,FALSE))</f>
        <v>0</v>
      </c>
      <c r="AM139" s="292"/>
      <c r="AN139" s="293"/>
      <c r="AO139" s="293"/>
      <c r="AP139" s="293"/>
      <c r="AQ139" s="294"/>
      <c r="AR139" s="139"/>
      <c r="AS139" s="292"/>
      <c r="AT139" s="293"/>
      <c r="AU139" s="293"/>
      <c r="AV139" s="293"/>
      <c r="AW139" s="294"/>
      <c r="AY139" s="188"/>
      <c r="AZ139" s="189"/>
      <c r="BA139" s="189"/>
      <c r="BB139" s="189"/>
      <c r="BC139" s="717"/>
      <c r="BD139" s="182">
        <f t="shared" si="336"/>
        <v>9</v>
      </c>
      <c r="BE139" s="164" t="str">
        <f t="shared" si="308"/>
        <v>N/A</v>
      </c>
      <c r="BF139" s="185"/>
      <c r="BG139" s="182">
        <f t="shared" si="337"/>
        <v>9</v>
      </c>
      <c r="BH139" s="164" t="str">
        <f t="shared" si="310"/>
        <v>N/A</v>
      </c>
      <c r="BI139" s="185"/>
      <c r="BJ139" s="182">
        <f t="shared" si="338"/>
        <v>9</v>
      </c>
      <c r="BK139" s="164" t="str">
        <f t="shared" si="311"/>
        <v>N/A</v>
      </c>
      <c r="BL139" s="185"/>
      <c r="BO139" s="167"/>
      <c r="BP139" s="167"/>
      <c r="BQ139" s="167" t="str">
        <f t="shared" ref="BQ139:BQ202" si="342">IF(BO139&lt;&gt;"",BO139,IF(BP139&lt;&gt;"",BP139,""))</f>
        <v/>
      </c>
      <c r="BR139" s="167">
        <f t="shared" si="198"/>
        <v>9</v>
      </c>
      <c r="BS139" s="167">
        <f t="shared" si="199"/>
        <v>9</v>
      </c>
      <c r="BT139" s="167">
        <f t="shared" si="200"/>
        <v>9</v>
      </c>
      <c r="BW139" s="167"/>
      <c r="BX139" s="167"/>
      <c r="BY139" s="230"/>
      <c r="BZ139" s="167"/>
      <c r="CA139" s="680"/>
      <c r="CB139" s="167"/>
      <c r="CE139" s="99"/>
      <c r="CG139" s="681"/>
    </row>
    <row r="140" spans="1:85" x14ac:dyDescent="0.25">
      <c r="A140" s="96">
        <v>132</v>
      </c>
      <c r="B140" s="96" t="str">
        <f t="shared" ref="B140:B143" si="343">$D$138&amp;D140</f>
        <v>Mat 05b</v>
      </c>
      <c r="C140" s="96" t="str">
        <f t="shared" ref="C140:C203" si="344">C139</f>
        <v>Mat 05</v>
      </c>
      <c r="D140" s="188" t="s">
        <v>696</v>
      </c>
      <c r="E140" s="1123" t="s">
        <v>656</v>
      </c>
      <c r="F140" s="775">
        <v>1</v>
      </c>
      <c r="G140" s="775">
        <v>1</v>
      </c>
      <c r="H140" s="775">
        <v>1</v>
      </c>
      <c r="I140" s="775">
        <v>1</v>
      </c>
      <c r="J140" s="775">
        <v>1</v>
      </c>
      <c r="K140" s="775">
        <v>1</v>
      </c>
      <c r="L140" s="775">
        <v>1</v>
      </c>
      <c r="M140" s="775">
        <v>1</v>
      </c>
      <c r="N140" s="775">
        <v>1</v>
      </c>
      <c r="O140" s="775">
        <v>1</v>
      </c>
      <c r="P140" s="775">
        <v>1</v>
      </c>
      <c r="Q140" s="775">
        <v>1</v>
      </c>
      <c r="R140" s="775">
        <v>1</v>
      </c>
      <c r="S140" s="667"/>
      <c r="T140" s="221">
        <f t="shared" si="298"/>
        <v>1</v>
      </c>
      <c r="U140" s="166"/>
      <c r="V140" s="167"/>
      <c r="W140" s="167"/>
      <c r="X140" s="167"/>
      <c r="Y140" s="168"/>
      <c r="Z140" s="168">
        <f>VLOOKUP(B140,'Manuell filtrering og justering'!$A$7:$H$253,'Manuell filtrering og justering'!$H$1,FALSE)</f>
        <v>1</v>
      </c>
      <c r="AA140" s="169">
        <f t="shared" si="300"/>
        <v>0</v>
      </c>
      <c r="AB140" s="170">
        <f>IF($AC$5='Manuell filtrering og justering'!$J$2,Z140,(T140-AA140))</f>
        <v>1</v>
      </c>
      <c r="AD140" s="171">
        <f t="shared" si="301"/>
        <v>8.0952380952380963E-3</v>
      </c>
      <c r="AE140" s="171">
        <f t="shared" si="312"/>
        <v>0</v>
      </c>
      <c r="AF140" s="171">
        <f t="shared" si="313"/>
        <v>0</v>
      </c>
      <c r="AG140" s="171">
        <f t="shared" si="314"/>
        <v>0</v>
      </c>
      <c r="AI140" s="1067">
        <f>IF(AI241=AD_no,0,IF(VLOOKUP(E140,'Pre-Assessment Estimator'!$E$11:$Z$226,'Pre-Assessment Estimator'!$G$2,FALSE)&gt;AB140,AB140,VLOOKUP(E140,'Pre-Assessment Estimator'!$E$11:$Z$226,'Pre-Assessment Estimator'!$G$2,FALSE)))</f>
        <v>0</v>
      </c>
      <c r="AJ140" s="1067">
        <f>IF(AJ241=AD_no,0,IF(VLOOKUP(E140,'Pre-Assessment Estimator'!$E$11:$Z$226,'Pre-Assessment Estimator'!$N$2,FALSE)&gt;AB140,AB140,VLOOKUP(E140,'Pre-Assessment Estimator'!$E$11:$Z$226,'Pre-Assessment Estimator'!$N$2,FALSE)))</f>
        <v>0</v>
      </c>
      <c r="AK140" s="1067">
        <f>IF(AK241=AD_no,0,IF(VLOOKUP(E140,'Pre-Assessment Estimator'!$E$11:$Z$226,'Pre-Assessment Estimator'!$U$2,FALSE)&gt;AB140,AB140,VLOOKUP(E140,'Pre-Assessment Estimator'!$E$11:$Z$226,'Pre-Assessment Estimator'!$U$2,FALSE)))</f>
        <v>0</v>
      </c>
      <c r="AM140" s="292"/>
      <c r="AN140" s="293"/>
      <c r="AO140" s="293"/>
      <c r="AP140" s="293"/>
      <c r="AQ140" s="294"/>
      <c r="AR140" s="139"/>
      <c r="AS140" s="292"/>
      <c r="AT140" s="293"/>
      <c r="AU140" s="293"/>
      <c r="AV140" s="293"/>
      <c r="AW140" s="294"/>
      <c r="AY140" s="188"/>
      <c r="AZ140" s="189"/>
      <c r="BA140" s="189"/>
      <c r="BB140" s="189"/>
      <c r="BC140" s="717"/>
      <c r="BD140" s="182">
        <f t="shared" si="336"/>
        <v>9</v>
      </c>
      <c r="BE140" s="164" t="str">
        <f t="shared" si="308"/>
        <v>N/A</v>
      </c>
      <c r="BF140" s="185"/>
      <c r="BG140" s="182">
        <f t="shared" si="337"/>
        <v>9</v>
      </c>
      <c r="BH140" s="164" t="str">
        <f t="shared" si="310"/>
        <v>N/A</v>
      </c>
      <c r="BI140" s="185"/>
      <c r="BJ140" s="182">
        <f t="shared" si="338"/>
        <v>9</v>
      </c>
      <c r="BK140" s="164" t="str">
        <f t="shared" si="311"/>
        <v>N/A</v>
      </c>
      <c r="BL140" s="185"/>
      <c r="BO140" s="167"/>
      <c r="BP140" s="167"/>
      <c r="BQ140" s="167" t="str">
        <f t="shared" si="342"/>
        <v/>
      </c>
      <c r="BR140" s="167">
        <f t="shared" si="198"/>
        <v>9</v>
      </c>
      <c r="BS140" s="167">
        <f t="shared" si="199"/>
        <v>9</v>
      </c>
      <c r="BT140" s="167">
        <f t="shared" si="200"/>
        <v>9</v>
      </c>
      <c r="BW140" s="167"/>
      <c r="BX140" s="167"/>
      <c r="BY140" s="230"/>
      <c r="BZ140" s="167"/>
      <c r="CA140" s="680"/>
      <c r="CB140" s="167"/>
      <c r="CE140" s="99"/>
      <c r="CG140" s="681"/>
    </row>
    <row r="141" spans="1:85" x14ac:dyDescent="0.25">
      <c r="A141" s="96">
        <v>133</v>
      </c>
      <c r="B141" s="96" t="str">
        <f t="shared" si="343"/>
        <v>Mat 05c</v>
      </c>
      <c r="C141" s="96" t="str">
        <f t="shared" si="344"/>
        <v>Mat 05</v>
      </c>
      <c r="D141" s="188" t="s">
        <v>697</v>
      </c>
      <c r="E141" s="1123" t="s">
        <v>657</v>
      </c>
      <c r="F141" s="775">
        <v>1</v>
      </c>
      <c r="G141" s="775">
        <v>1</v>
      </c>
      <c r="H141" s="775">
        <v>1</v>
      </c>
      <c r="I141" s="775">
        <v>1</v>
      </c>
      <c r="J141" s="775">
        <v>1</v>
      </c>
      <c r="K141" s="775">
        <v>1</v>
      </c>
      <c r="L141" s="775">
        <v>1</v>
      </c>
      <c r="M141" s="775">
        <v>1</v>
      </c>
      <c r="N141" s="775">
        <v>1</v>
      </c>
      <c r="O141" s="775">
        <v>1</v>
      </c>
      <c r="P141" s="775">
        <v>1</v>
      </c>
      <c r="Q141" s="775">
        <v>1</v>
      </c>
      <c r="R141" s="775">
        <v>1</v>
      </c>
      <c r="S141" s="667"/>
      <c r="T141" s="221">
        <f t="shared" si="298"/>
        <v>1</v>
      </c>
      <c r="U141" s="166"/>
      <c r="V141" s="167"/>
      <c r="W141" s="167"/>
      <c r="X141" s="167"/>
      <c r="Y141" s="168"/>
      <c r="Z141" s="168">
        <f>VLOOKUP(B141,'Manuell filtrering og justering'!$A$7:$H$253,'Manuell filtrering og justering'!$H$1,FALSE)</f>
        <v>1</v>
      </c>
      <c r="AA141" s="169">
        <f t="shared" si="300"/>
        <v>0</v>
      </c>
      <c r="AB141" s="170">
        <f>IF($AC$5='Manuell filtrering og justering'!$J$2,Z141,(T141-AA141))</f>
        <v>1</v>
      </c>
      <c r="AD141" s="171">
        <f t="shared" si="301"/>
        <v>8.0952380952380963E-3</v>
      </c>
      <c r="AE141" s="171">
        <f t="shared" si="312"/>
        <v>0</v>
      </c>
      <c r="AF141" s="171">
        <f t="shared" si="313"/>
        <v>0</v>
      </c>
      <c r="AG141" s="171">
        <f t="shared" si="314"/>
        <v>0</v>
      </c>
      <c r="AI141" s="1067">
        <f>IF(AI241=AD_no,0,IF(VLOOKUP(E141,'Pre-Assessment Estimator'!$E$11:$Z$226,'Pre-Assessment Estimator'!$G$2,FALSE)&gt;AB141,AB141,VLOOKUP(E141,'Pre-Assessment Estimator'!$E$11:$Z$226,'Pre-Assessment Estimator'!$G$2,FALSE)))</f>
        <v>0</v>
      </c>
      <c r="AJ141" s="1067">
        <f>IF(AJ241=AD_no,0,IF(VLOOKUP(E141,'Pre-Assessment Estimator'!$E$11:$Z$226,'Pre-Assessment Estimator'!$N$2,FALSE)&gt;AB141,AB141,VLOOKUP(E141,'Pre-Assessment Estimator'!$E$11:$Z$226,'Pre-Assessment Estimator'!$N$2,FALSE)))</f>
        <v>0</v>
      </c>
      <c r="AK141" s="1067">
        <f>IF(AK241=AD_no,0,IF(VLOOKUP(E141,'Pre-Assessment Estimator'!$E$11:$Z$226,'Pre-Assessment Estimator'!$U$2,FALSE)&gt;AB141,AB141,VLOOKUP(E141,'Pre-Assessment Estimator'!$E$11:$Z$226,'Pre-Assessment Estimator'!$U$2,FALSE)))</f>
        <v>0</v>
      </c>
      <c r="AM141" s="292"/>
      <c r="AN141" s="293"/>
      <c r="AO141" s="293"/>
      <c r="AP141" s="293"/>
      <c r="AQ141" s="294"/>
      <c r="AR141" s="139"/>
      <c r="AS141" s="292"/>
      <c r="AT141" s="293"/>
      <c r="AU141" s="293"/>
      <c r="AV141" s="293"/>
      <c r="AW141" s="294"/>
      <c r="AY141" s="188"/>
      <c r="AZ141" s="189"/>
      <c r="BA141" s="189"/>
      <c r="BB141" s="189"/>
      <c r="BC141" s="717"/>
      <c r="BD141" s="182">
        <f t="shared" si="336"/>
        <v>9</v>
      </c>
      <c r="BE141" s="164" t="str">
        <f t="shared" si="308"/>
        <v>N/A</v>
      </c>
      <c r="BF141" s="185"/>
      <c r="BG141" s="182">
        <f t="shared" si="337"/>
        <v>9</v>
      </c>
      <c r="BH141" s="164" t="str">
        <f t="shared" si="310"/>
        <v>N/A</v>
      </c>
      <c r="BI141" s="185"/>
      <c r="BJ141" s="182">
        <f t="shared" si="338"/>
        <v>9</v>
      </c>
      <c r="BK141" s="164" t="str">
        <f t="shared" si="311"/>
        <v>N/A</v>
      </c>
      <c r="BL141" s="185"/>
      <c r="BO141" s="167"/>
      <c r="BP141" s="167"/>
      <c r="BQ141" s="167" t="str">
        <f t="shared" si="342"/>
        <v/>
      </c>
      <c r="BR141" s="167">
        <f t="shared" si="198"/>
        <v>9</v>
      </c>
      <c r="BS141" s="167">
        <f t="shared" si="199"/>
        <v>9</v>
      </c>
      <c r="BT141" s="167">
        <f t="shared" si="200"/>
        <v>9</v>
      </c>
      <c r="BW141" s="167"/>
      <c r="BX141" s="167"/>
      <c r="BY141" s="230"/>
      <c r="BZ141" s="167"/>
      <c r="CA141" s="680"/>
      <c r="CB141" s="167"/>
      <c r="CE141" s="99"/>
      <c r="CG141" s="681"/>
    </row>
    <row r="142" spans="1:85" x14ac:dyDescent="0.25">
      <c r="A142" s="96">
        <v>134</v>
      </c>
      <c r="B142" s="96" t="str">
        <f t="shared" si="343"/>
        <v>Mat 05d</v>
      </c>
      <c r="C142" s="96" t="str">
        <f t="shared" si="344"/>
        <v>Mat 05</v>
      </c>
      <c r="D142" s="188" t="s">
        <v>695</v>
      </c>
      <c r="E142" s="1123" t="s">
        <v>996</v>
      </c>
      <c r="F142" s="775">
        <v>1</v>
      </c>
      <c r="G142" s="775">
        <v>1</v>
      </c>
      <c r="H142" s="775">
        <v>1</v>
      </c>
      <c r="I142" s="775">
        <v>1</v>
      </c>
      <c r="J142" s="775">
        <v>1</v>
      </c>
      <c r="K142" s="775">
        <v>1</v>
      </c>
      <c r="L142" s="775">
        <v>1</v>
      </c>
      <c r="M142" s="775">
        <v>1</v>
      </c>
      <c r="N142" s="775">
        <v>1</v>
      </c>
      <c r="O142" s="775">
        <v>1</v>
      </c>
      <c r="P142" s="775">
        <v>1</v>
      </c>
      <c r="Q142" s="775">
        <v>1</v>
      </c>
      <c r="R142" s="775">
        <v>1</v>
      </c>
      <c r="S142" s="667"/>
      <c r="T142" s="221">
        <f t="shared" si="298"/>
        <v>1</v>
      </c>
      <c r="U142" s="166"/>
      <c r="V142" s="167"/>
      <c r="W142" s="167"/>
      <c r="X142" s="167"/>
      <c r="Y142" s="168"/>
      <c r="Z142" s="168">
        <f>VLOOKUP(B142,'Manuell filtrering og justering'!$A$7:$H$253,'Manuell filtrering og justering'!$H$1,FALSE)</f>
        <v>1</v>
      </c>
      <c r="AA142" s="169">
        <f t="shared" si="300"/>
        <v>0</v>
      </c>
      <c r="AB142" s="170">
        <f>IF($AC$5='Manuell filtrering og justering'!$J$2,Z142,(T142-AA142))</f>
        <v>1</v>
      </c>
      <c r="AD142" s="171">
        <f t="shared" si="301"/>
        <v>8.0952380952380963E-3</v>
      </c>
      <c r="AE142" s="171">
        <f t="shared" si="312"/>
        <v>0</v>
      </c>
      <c r="AF142" s="171">
        <f t="shared" si="313"/>
        <v>0</v>
      </c>
      <c r="AG142" s="171">
        <f t="shared" si="314"/>
        <v>0</v>
      </c>
      <c r="AI142" s="1067">
        <f>IF(OR(AI241=0,AI241=AD_no),0,IF(VLOOKUP(E142,'Pre-Assessment Estimator'!$E$11:$Z$226,'Pre-Assessment Estimator'!$G$2,FALSE)&gt;AB142,AB142,VLOOKUP(E142,'Pre-Assessment Estimator'!$E$11:$Z$226,'Pre-Assessment Estimator'!$G$2,FALSE)))</f>
        <v>0</v>
      </c>
      <c r="AJ142" s="1067">
        <f>IF(OR(AJ241=0,AJ241=AD_no),0,IF(VLOOKUP(E142,'Pre-Assessment Estimator'!$E$11:$Z$226,'Pre-Assessment Estimator'!$N$2,FALSE)&gt;AB142,AB142,VLOOKUP(E142,'Pre-Assessment Estimator'!$E$11:$Z$226,'Pre-Assessment Estimator'!$N$2,FALSE)))</f>
        <v>0</v>
      </c>
      <c r="AK142" s="1067">
        <f>IF(OR(AK241=0,AK241=AD_no),0,IF(VLOOKUP(E142,'Pre-Assessment Estimator'!$E$11:$Z$226,'Pre-Assessment Estimator'!$U$2,FALSE)&gt;AB142,AB142,VLOOKUP(E142,'Pre-Assessment Estimator'!$E$11:$Z$226,'Pre-Assessment Estimator'!$U$2,FALSE)))</f>
        <v>0</v>
      </c>
      <c r="AM142" s="1192">
        <v>1</v>
      </c>
      <c r="AN142" s="1193">
        <v>1</v>
      </c>
      <c r="AO142" s="1193">
        <v>1</v>
      </c>
      <c r="AP142" s="293">
        <v>1</v>
      </c>
      <c r="AQ142" s="294">
        <v>1</v>
      </c>
      <c r="AR142" s="139"/>
      <c r="AS142" s="1192">
        <v>1</v>
      </c>
      <c r="AT142" s="1193">
        <v>1</v>
      </c>
      <c r="AU142" s="1193">
        <v>1</v>
      </c>
      <c r="AV142" s="293">
        <v>1</v>
      </c>
      <c r="AW142" s="294">
        <v>1</v>
      </c>
      <c r="AY142" s="188"/>
      <c r="AZ142" s="189"/>
      <c r="BA142" s="189"/>
      <c r="BB142" s="183">
        <f>IF($AB142=0,0,IF($E$6=$H$9,AV142,AP142))</f>
        <v>1</v>
      </c>
      <c r="BC142" s="183">
        <f>IF($AB142=0,0,IF($E$6=$H$9,AW142,AQ142))</f>
        <v>1</v>
      </c>
      <c r="BD142" s="182">
        <f t="shared" si="336"/>
        <v>3</v>
      </c>
      <c r="BE142" s="164" t="str">
        <f t="shared" si="308"/>
        <v>Very Good</v>
      </c>
      <c r="BF142" s="185"/>
      <c r="BG142" s="182">
        <f t="shared" si="337"/>
        <v>3</v>
      </c>
      <c r="BH142" s="164" t="str">
        <f t="shared" si="310"/>
        <v>Very Good</v>
      </c>
      <c r="BI142" s="185"/>
      <c r="BJ142" s="182">
        <f t="shared" si="338"/>
        <v>3</v>
      </c>
      <c r="BK142" s="164" t="str">
        <f t="shared" si="311"/>
        <v>Very Good</v>
      </c>
      <c r="BL142" s="185"/>
      <c r="BO142" s="167"/>
      <c r="BP142" s="167"/>
      <c r="BQ142" s="167" t="str">
        <f t="shared" si="342"/>
        <v/>
      </c>
      <c r="BR142" s="167">
        <f t="shared" si="198"/>
        <v>9</v>
      </c>
      <c r="BS142" s="167">
        <f t="shared" si="199"/>
        <v>9</v>
      </c>
      <c r="BT142" s="167">
        <f t="shared" si="200"/>
        <v>9</v>
      </c>
      <c r="BW142" s="167"/>
      <c r="BX142" s="167"/>
      <c r="BY142" s="230"/>
      <c r="BZ142" s="167"/>
      <c r="CA142" s="680"/>
      <c r="CB142" s="167"/>
      <c r="CE142" s="99"/>
      <c r="CG142" s="681"/>
    </row>
    <row r="143" spans="1:85" x14ac:dyDescent="0.25">
      <c r="A143" s="96">
        <v>135</v>
      </c>
      <c r="B143" s="96" t="str">
        <f t="shared" si="343"/>
        <v>Mat 05e</v>
      </c>
      <c r="C143" s="96" t="str">
        <f t="shared" si="344"/>
        <v>Mat 05</v>
      </c>
      <c r="D143" s="188" t="s">
        <v>694</v>
      </c>
      <c r="E143" s="1123" t="s">
        <v>997</v>
      </c>
      <c r="F143" s="775">
        <v>1</v>
      </c>
      <c r="G143" s="775">
        <v>1</v>
      </c>
      <c r="H143" s="775">
        <v>1</v>
      </c>
      <c r="I143" s="775">
        <v>1</v>
      </c>
      <c r="J143" s="775">
        <v>1</v>
      </c>
      <c r="K143" s="775">
        <v>1</v>
      </c>
      <c r="L143" s="775">
        <v>1</v>
      </c>
      <c r="M143" s="775">
        <v>1</v>
      </c>
      <c r="N143" s="775">
        <v>1</v>
      </c>
      <c r="O143" s="775">
        <v>1</v>
      </c>
      <c r="P143" s="775">
        <v>1</v>
      </c>
      <c r="Q143" s="775">
        <v>1</v>
      </c>
      <c r="R143" s="775">
        <v>1</v>
      </c>
      <c r="S143" s="667"/>
      <c r="T143" s="221">
        <f t="shared" si="298"/>
        <v>1</v>
      </c>
      <c r="U143" s="166"/>
      <c r="V143" s="167"/>
      <c r="W143" s="167"/>
      <c r="X143" s="167"/>
      <c r="Y143" s="168"/>
      <c r="Z143" s="168">
        <f>VLOOKUP(B143,'Manuell filtrering og justering'!$A$7:$H$253,'Manuell filtrering og justering'!$H$1,FALSE)</f>
        <v>1</v>
      </c>
      <c r="AA143" s="169">
        <f t="shared" si="300"/>
        <v>0</v>
      </c>
      <c r="AB143" s="170">
        <f>IF($AC$5='Manuell filtrering og justering'!$J$2,Z143,(T143-AA143))</f>
        <v>1</v>
      </c>
      <c r="AD143" s="171">
        <f t="shared" si="301"/>
        <v>8.0952380952380963E-3</v>
      </c>
      <c r="AE143" s="171">
        <f t="shared" ref="AE143" si="345">IF(AB143=0,0,(AD143/AB143)*AI143)</f>
        <v>0</v>
      </c>
      <c r="AF143" s="171">
        <f t="shared" ref="AF143" si="346">IF(AB143=0,0,(AD143/AB143)*AJ143)</f>
        <v>0</v>
      </c>
      <c r="AG143" s="171">
        <f t="shared" ref="AG143" si="347">IF(AB143=0,0,(AD143/AB143)*AK143)</f>
        <v>0</v>
      </c>
      <c r="AI143" s="1067">
        <f>IF(AI241=AD_no,0,IF(VLOOKUP(E143,'Pre-Assessment Estimator'!$E$11:$Z$226,'Pre-Assessment Estimator'!$G$2,FALSE)&gt;AB143,AB143,VLOOKUP(E143,'Pre-Assessment Estimator'!$E$11:$Z$226,'Pre-Assessment Estimator'!$G$2,FALSE)))</f>
        <v>0</v>
      </c>
      <c r="AJ143" s="1067">
        <f>IF(AJ241=AD_no,0,IF(VLOOKUP(E143,'Pre-Assessment Estimator'!$E$11:$Z$226,'Pre-Assessment Estimator'!$N$2,FALSE)&gt;AB143,AB143,VLOOKUP(E143,'Pre-Assessment Estimator'!$E$11:$Z$226,'Pre-Assessment Estimator'!$N$2,FALSE)))</f>
        <v>0</v>
      </c>
      <c r="AK143" s="1067">
        <f>IF(AK241=AD_no,0,IF(VLOOKUP(E143,'Pre-Assessment Estimator'!$E$11:$Z$226,'Pre-Assessment Estimator'!$U$2,FALSE)&gt;AB143,AB143,VLOOKUP(E143,'Pre-Assessment Estimator'!$E$11:$Z$226,'Pre-Assessment Estimator'!$U$2,FALSE)))</f>
        <v>0</v>
      </c>
      <c r="AM143" s="292"/>
      <c r="AN143" s="293"/>
      <c r="AO143" s="293"/>
      <c r="AP143" s="293"/>
      <c r="AQ143" s="294"/>
      <c r="AR143" s="139"/>
      <c r="AS143" s="292"/>
      <c r="AT143" s="293"/>
      <c r="AU143" s="293"/>
      <c r="AV143" s="293"/>
      <c r="AW143" s="294"/>
      <c r="AY143" s="188"/>
      <c r="AZ143" s="189"/>
      <c r="BA143" s="189"/>
      <c r="BB143" s="189"/>
      <c r="BC143" s="717"/>
      <c r="BD143" s="182">
        <f t="shared" ref="BD143" si="348">IF(BC143=0,9,IF(AI143&gt;=BC143,5,IF(AI143&gt;=BB143,4,IF(AI143&gt;=BA143,3,IF(AI143&gt;=AZ143,2,IF(AI143&lt;AY143,0,1))))))</f>
        <v>9</v>
      </c>
      <c r="BE143" s="164" t="str">
        <f t="shared" si="308"/>
        <v>N/A</v>
      </c>
      <c r="BF143" s="185"/>
      <c r="BG143" s="182">
        <f t="shared" ref="BG143" si="349">IF(BC143=0,9,IF(AJ143&gt;=BC143,5,IF(AJ143&gt;=BB143,4,IF(AJ143&gt;=BA143,3,IF(AJ143&gt;=AZ143,2,IF(AJ143&lt;AY143,0,1))))))</f>
        <v>9</v>
      </c>
      <c r="BH143" s="164" t="str">
        <f t="shared" si="310"/>
        <v>N/A</v>
      </c>
      <c r="BI143" s="185"/>
      <c r="BJ143" s="182">
        <f t="shared" ref="BJ143" si="350">IF(BC143=0,9,IF(AK143&gt;=BC143,5,IF(AK143&gt;=BB143,4,IF(AK143&gt;=BA143,3,IF(AK143&gt;=AZ143,2,IF(AK143&lt;AY143,0,1))))))</f>
        <v>9</v>
      </c>
      <c r="BK143" s="164" t="str">
        <f t="shared" si="311"/>
        <v>N/A</v>
      </c>
      <c r="BL143" s="185"/>
      <c r="BO143" s="167"/>
      <c r="BP143" s="167"/>
      <c r="BQ143" s="167" t="str">
        <f t="shared" si="342"/>
        <v/>
      </c>
      <c r="BR143" s="167">
        <f t="shared" si="198"/>
        <v>9</v>
      </c>
      <c r="BS143" s="167">
        <f t="shared" si="199"/>
        <v>9</v>
      </c>
      <c r="BT143" s="167">
        <f t="shared" si="200"/>
        <v>9</v>
      </c>
      <c r="BW143" s="167"/>
      <c r="BX143" s="167"/>
      <c r="BY143" s="230"/>
      <c r="BZ143" s="167"/>
      <c r="CA143" s="680"/>
      <c r="CB143" s="167"/>
      <c r="CE143" s="99"/>
      <c r="CG143" s="681"/>
    </row>
    <row r="144" spans="1:85" x14ac:dyDescent="0.25">
      <c r="A144" s="96">
        <v>136</v>
      </c>
      <c r="B144" s="137" t="str">
        <f>D144</f>
        <v>Mat 06</v>
      </c>
      <c r="C144" s="137" t="str">
        <f>B144</f>
        <v>Mat 06</v>
      </c>
      <c r="D144" s="946" t="s">
        <v>176</v>
      </c>
      <c r="E144" s="832" t="s">
        <v>467</v>
      </c>
      <c r="F144" s="933">
        <f>SUM(F145:F147)</f>
        <v>3</v>
      </c>
      <c r="G144" s="933">
        <f t="shared" ref="G144:R144" si="351">SUM(G145:G147)</f>
        <v>3</v>
      </c>
      <c r="H144" s="933">
        <f t="shared" si="351"/>
        <v>3</v>
      </c>
      <c r="I144" s="933">
        <f t="shared" si="351"/>
        <v>3</v>
      </c>
      <c r="J144" s="933">
        <f t="shared" si="351"/>
        <v>3</v>
      </c>
      <c r="K144" s="933">
        <f t="shared" si="351"/>
        <v>3</v>
      </c>
      <c r="L144" s="933">
        <f t="shared" si="351"/>
        <v>3</v>
      </c>
      <c r="M144" s="933">
        <f t="shared" si="351"/>
        <v>3</v>
      </c>
      <c r="N144" s="933">
        <f t="shared" si="351"/>
        <v>3</v>
      </c>
      <c r="O144" s="933">
        <f t="shared" si="351"/>
        <v>3</v>
      </c>
      <c r="P144" s="933">
        <f t="shared" si="351"/>
        <v>3</v>
      </c>
      <c r="Q144" s="933">
        <f t="shared" ref="Q144" si="352">SUM(Q145:Q147)</f>
        <v>3</v>
      </c>
      <c r="R144" s="933">
        <f t="shared" si="351"/>
        <v>3</v>
      </c>
      <c r="S144" s="137"/>
      <c r="T144" s="963">
        <f t="shared" si="298"/>
        <v>3</v>
      </c>
      <c r="U144" s="222">
        <f>U145</f>
        <v>0</v>
      </c>
      <c r="V144" s="230"/>
      <c r="W144" s="230"/>
      <c r="X144" s="230">
        <f>'Manuell filtrering og justering'!E63</f>
        <v>0</v>
      </c>
      <c r="Y144" s="230"/>
      <c r="Z144" s="958">
        <f t="shared" ref="Z144" si="353">SUM(Z145:Z147)</f>
        <v>3</v>
      </c>
      <c r="AA144" s="963">
        <f t="shared" si="300"/>
        <v>0</v>
      </c>
      <c r="AB144" s="1066">
        <f>SUM(AB145:AB147)</f>
        <v>3</v>
      </c>
      <c r="AD144" s="171">
        <f t="shared" si="301"/>
        <v>2.4285714285714289E-2</v>
      </c>
      <c r="AE144" s="921">
        <f>SUM(AE145:AE147)</f>
        <v>0</v>
      </c>
      <c r="AF144" s="921">
        <f t="shared" ref="AF144" si="354">SUM(AF145:AF147)</f>
        <v>0</v>
      </c>
      <c r="AG144" s="921">
        <f t="shared" ref="AG144" si="355">SUM(AG145:AG147)</f>
        <v>0</v>
      </c>
      <c r="AI144" s="958">
        <f t="shared" ref="AI144" si="356">SUM(AI145:AI147)</f>
        <v>0</v>
      </c>
      <c r="AJ144" s="958">
        <f t="shared" ref="AJ144" si="357">SUM(AJ145:AJ147)</f>
        <v>0</v>
      </c>
      <c r="AK144" s="958">
        <f t="shared" ref="AK144" si="358">SUM(AK145:AK147)</f>
        <v>0</v>
      </c>
      <c r="AM144" s="292"/>
      <c r="AN144" s="293"/>
      <c r="AO144" s="293"/>
      <c r="AP144" s="293"/>
      <c r="AQ144" s="294"/>
      <c r="AR144" s="139"/>
      <c r="AS144" s="292"/>
      <c r="AT144" s="293"/>
      <c r="AU144" s="293"/>
      <c r="AV144" s="293"/>
      <c r="AW144" s="294"/>
      <c r="AY144" s="188"/>
      <c r="AZ144" s="189"/>
      <c r="BA144" s="189"/>
      <c r="BB144" s="189"/>
      <c r="BC144" s="717"/>
      <c r="BD144" s="182">
        <f t="shared" si="336"/>
        <v>9</v>
      </c>
      <c r="BE144" s="164" t="str">
        <f t="shared" si="308"/>
        <v>N/A</v>
      </c>
      <c r="BF144" s="185"/>
      <c r="BG144" s="182">
        <f t="shared" si="337"/>
        <v>9</v>
      </c>
      <c r="BH144" s="164" t="str">
        <f t="shared" si="310"/>
        <v>N/A</v>
      </c>
      <c r="BI144" s="185"/>
      <c r="BJ144" s="182">
        <f t="shared" si="338"/>
        <v>9</v>
      </c>
      <c r="BK144" s="164" t="str">
        <f t="shared" si="311"/>
        <v>N/A</v>
      </c>
      <c r="BL144" s="185"/>
      <c r="BO144" s="167"/>
      <c r="BP144" s="167"/>
      <c r="BQ144" s="167" t="str">
        <f t="shared" si="342"/>
        <v/>
      </c>
      <c r="BR144" s="167">
        <f t="shared" si="198"/>
        <v>9</v>
      </c>
      <c r="BS144" s="167">
        <f t="shared" si="199"/>
        <v>9</v>
      </c>
      <c r="BT144" s="167">
        <f t="shared" si="200"/>
        <v>9</v>
      </c>
      <c r="BW144" s="289" t="str">
        <f>D144</f>
        <v>Mat 06</v>
      </c>
      <c r="BX144" s="289">
        <f>IFERROR(VLOOKUP($E144,'Pre-Assessment Estimator'!$E$11:$AB$226,'Pre-Assessment Estimator'!AB$2,FALSE),"")</f>
        <v>0</v>
      </c>
      <c r="BY144" s="289">
        <f>IFERROR(VLOOKUP($E144,'Pre-Assessment Estimator'!$E$11:$AI$226,'Pre-Assessment Estimator'!AI$2,FALSE),"")</f>
        <v>0</v>
      </c>
      <c r="BZ144" s="289" t="str">
        <f>IFERROR(VLOOKUP($BX144,$E$293:$H$326,F$291,FALSE),"")</f>
        <v/>
      </c>
      <c r="CA144" s="289" t="str">
        <f>IFERROR(VLOOKUP($BX144,$E$293:$H$326,G$291,FALSE),"")</f>
        <v/>
      </c>
      <c r="CB144" s="289"/>
      <c r="CC144" s="96" t="str">
        <f>IFERROR(VLOOKUP($BX144,$E$293:$H$326,I$291,FALSE),"")</f>
        <v/>
      </c>
    </row>
    <row r="145" spans="1:81" x14ac:dyDescent="0.25">
      <c r="A145" s="96">
        <v>137</v>
      </c>
      <c r="B145" s="96" t="str">
        <f t="shared" ref="B145:B147" si="359">$D$144&amp;D145</f>
        <v>Mat 06a</v>
      </c>
      <c r="C145" s="96" t="str">
        <f t="shared" si="344"/>
        <v>Mat 06</v>
      </c>
      <c r="D145" s="947" t="s">
        <v>693</v>
      </c>
      <c r="E145" s="1253" t="s">
        <v>659</v>
      </c>
      <c r="F145" s="775">
        <v>1</v>
      </c>
      <c r="G145" s="775">
        <v>1</v>
      </c>
      <c r="H145" s="775">
        <v>1</v>
      </c>
      <c r="I145" s="775">
        <v>1</v>
      </c>
      <c r="J145" s="775">
        <v>1</v>
      </c>
      <c r="K145" s="775">
        <v>1</v>
      </c>
      <c r="L145" s="775">
        <v>1</v>
      </c>
      <c r="M145" s="775">
        <v>1</v>
      </c>
      <c r="N145" s="775">
        <v>1</v>
      </c>
      <c r="O145" s="775">
        <v>1</v>
      </c>
      <c r="P145" s="775">
        <v>1</v>
      </c>
      <c r="Q145" s="775">
        <v>1</v>
      </c>
      <c r="R145" s="775">
        <v>1</v>
      </c>
      <c r="S145" s="137"/>
      <c r="T145" s="221">
        <f t="shared" si="298"/>
        <v>1</v>
      </c>
      <c r="U145" s="192">
        <f>IF('Assessment Details'!F26=AD_no,Poeng!T145,0)</f>
        <v>0</v>
      </c>
      <c r="V145" s="193"/>
      <c r="W145" s="193"/>
      <c r="X145" s="167"/>
      <c r="Y145" s="168"/>
      <c r="Z145" s="168">
        <f>VLOOKUP(B145,'Manuell filtrering og justering'!$A$7:$H$253,'Manuell filtrering og justering'!$H$1,FALSE)</f>
        <v>1</v>
      </c>
      <c r="AA145" s="169">
        <f t="shared" si="300"/>
        <v>0</v>
      </c>
      <c r="AB145" s="170">
        <f>IF($AC$5='Manuell filtrering og justering'!$J$2,Z145,(T145-AA145))</f>
        <v>1</v>
      </c>
      <c r="AD145" s="171">
        <f t="shared" si="301"/>
        <v>8.0952380952380963E-3</v>
      </c>
      <c r="AE145" s="171">
        <f t="shared" si="312"/>
        <v>0</v>
      </c>
      <c r="AF145" s="171">
        <f t="shared" si="313"/>
        <v>0</v>
      </c>
      <c r="AG145" s="171">
        <f t="shared" si="314"/>
        <v>0</v>
      </c>
      <c r="AI145" s="172">
        <f>IF(VLOOKUP(E145,'Pre-Assessment Estimator'!$E$11:$Z$226,'Pre-Assessment Estimator'!$G$2,FALSE)&gt;AB145,AB145,VLOOKUP(E145,'Pre-Assessment Estimator'!$E$11:$Z$226,'Pre-Assessment Estimator'!$G$2,FALSE))</f>
        <v>0</v>
      </c>
      <c r="AJ145" s="172">
        <f>IF(VLOOKUP(E145,'Pre-Assessment Estimator'!$E$11:$Z$226,'Pre-Assessment Estimator'!$N$2,FALSE)&gt;AB145,AB145,VLOOKUP(E145,'Pre-Assessment Estimator'!$E$11:$Z$226,'Pre-Assessment Estimator'!$N$2,FALSE))</f>
        <v>0</v>
      </c>
      <c r="AK145" s="172">
        <f>IF(VLOOKUP(E145,'Pre-Assessment Estimator'!$E$11:$Z$226,'Pre-Assessment Estimator'!$U$2,FALSE)&gt;AB145,AB145,VLOOKUP(E145,'Pre-Assessment Estimator'!$E$11:$Z$226,'Pre-Assessment Estimator'!$U$2,FALSE))</f>
        <v>0</v>
      </c>
      <c r="AM145" s="850">
        <v>1</v>
      </c>
      <c r="AN145" s="851">
        <v>1</v>
      </c>
      <c r="AO145" s="851">
        <v>1</v>
      </c>
      <c r="AP145" s="851">
        <v>1</v>
      </c>
      <c r="AQ145" s="843">
        <v>1</v>
      </c>
      <c r="AR145" s="139"/>
      <c r="AS145" s="850"/>
      <c r="AT145" s="851"/>
      <c r="AU145" s="851"/>
      <c r="AV145" s="851">
        <v>1</v>
      </c>
      <c r="AW145" s="843">
        <v>1</v>
      </c>
      <c r="AY145" s="183">
        <f>IF($AB145=0,0,IF($E$6=$H$9,AS145,AM145))</f>
        <v>1</v>
      </c>
      <c r="AZ145" s="183">
        <f>IF($AB145=0,0,IF($E$6=$H$9,AT145,AN145))</f>
        <v>1</v>
      </c>
      <c r="BA145" s="183">
        <f>IF($AB145=0,0,IF($E$6=$H$9,AU145,AO145))</f>
        <v>1</v>
      </c>
      <c r="BB145" s="183">
        <f>IF($AB145=0,0,IF($E$6=$H$9,AV145,AP145))</f>
        <v>1</v>
      </c>
      <c r="BC145" s="183">
        <f>IF($AB145=0,0,IF($E$6=$H$9,AW145,AQ145))</f>
        <v>1</v>
      </c>
      <c r="BD145" s="1005">
        <f>IF('Assessment Details'!F26=AD_no,9,IF(AND(AI145=1,AI250=AD_Yes),5,IF(AI250=AD_Yes,3,0)))</f>
        <v>0</v>
      </c>
      <c r="BE145" s="164" t="str">
        <f t="shared" si="308"/>
        <v>Unclassified</v>
      </c>
      <c r="BF145" s="185"/>
      <c r="BG145" s="1005">
        <f>IF('Assessment Details'!F26=AD_no,9,IF(AND(AJ145=1,AJ250=AD_Yes),5,IF(AJ250=AD_Yes,3,0)))</f>
        <v>0</v>
      </c>
      <c r="BH145" s="164" t="str">
        <f t="shared" si="310"/>
        <v>Unclassified</v>
      </c>
      <c r="BI145" s="185"/>
      <c r="BJ145" s="1005">
        <f>IF('Assessment Details'!F26=AD_no,9,IF(AND(AK145=1,AK250=AD_Yes),5,IF(AK250=AD_Yes,3,0)))</f>
        <v>0</v>
      </c>
      <c r="BK145" s="164" t="str">
        <f t="shared" si="311"/>
        <v>Unclassified</v>
      </c>
      <c r="BL145" s="847"/>
      <c r="BO145" s="167"/>
      <c r="BP145" s="167"/>
      <c r="BQ145" s="167"/>
      <c r="BR145" s="167">
        <f t="shared" ref="BR145" si="360">IF(BQ145="",9,(IF(AI145&gt;=BQ145,5,0)))</f>
        <v>9</v>
      </c>
      <c r="BS145" s="167">
        <f t="shared" ref="BS145" si="361">IF(BQ145="",9,(IF(AJ145&gt;=BQ145,5,0)))</f>
        <v>9</v>
      </c>
      <c r="BT145" s="167">
        <f t="shared" ref="BT145" si="362">IF(BQ145="",9,(IF(AK145&gt;=BQ145,5,0)))</f>
        <v>9</v>
      </c>
      <c r="BW145" s="707"/>
      <c r="BX145" s="707"/>
      <c r="BY145" s="707"/>
      <c r="BZ145" s="707"/>
      <c r="CA145" s="707"/>
      <c r="CB145" s="707"/>
    </row>
    <row r="146" spans="1:81" x14ac:dyDescent="0.25">
      <c r="A146" s="96">
        <v>138</v>
      </c>
      <c r="B146" s="96" t="str">
        <f t="shared" si="359"/>
        <v>Mat 06b</v>
      </c>
      <c r="C146" s="96" t="str">
        <f t="shared" si="344"/>
        <v>Mat 06</v>
      </c>
      <c r="D146" s="947" t="s">
        <v>696</v>
      </c>
      <c r="E146" s="1123" t="s">
        <v>660</v>
      </c>
      <c r="F146" s="775">
        <v>1</v>
      </c>
      <c r="G146" s="775">
        <v>1</v>
      </c>
      <c r="H146" s="775">
        <v>1</v>
      </c>
      <c r="I146" s="775">
        <v>1</v>
      </c>
      <c r="J146" s="775">
        <v>1</v>
      </c>
      <c r="K146" s="775">
        <v>1</v>
      </c>
      <c r="L146" s="775">
        <v>1</v>
      </c>
      <c r="M146" s="775">
        <v>1</v>
      </c>
      <c r="N146" s="775">
        <v>1</v>
      </c>
      <c r="O146" s="775">
        <v>1</v>
      </c>
      <c r="P146" s="775">
        <v>1</v>
      </c>
      <c r="Q146" s="775">
        <v>1</v>
      </c>
      <c r="R146" s="775">
        <v>1</v>
      </c>
      <c r="S146" s="137"/>
      <c r="T146" s="221">
        <f t="shared" si="298"/>
        <v>1</v>
      </c>
      <c r="U146" s="192"/>
      <c r="V146" s="193"/>
      <c r="W146" s="193"/>
      <c r="X146" s="167"/>
      <c r="Y146" s="168"/>
      <c r="Z146" s="168">
        <f>VLOOKUP(B146,'Manuell filtrering og justering'!$A$7:$H$253,'Manuell filtrering og justering'!$H$1,FALSE)</f>
        <v>1</v>
      </c>
      <c r="AA146" s="169">
        <f t="shared" si="300"/>
        <v>0</v>
      </c>
      <c r="AB146" s="170">
        <f>IF($AC$5='Manuell filtrering og justering'!$J$2,Z146,(T146-AA146))</f>
        <v>1</v>
      </c>
      <c r="AD146" s="171">
        <f t="shared" si="301"/>
        <v>8.0952380952380963E-3</v>
      </c>
      <c r="AE146" s="171">
        <f t="shared" si="312"/>
        <v>0</v>
      </c>
      <c r="AF146" s="171">
        <f t="shared" si="313"/>
        <v>0</v>
      </c>
      <c r="AG146" s="171">
        <f t="shared" si="314"/>
        <v>0</v>
      </c>
      <c r="AI146" s="172">
        <f>IF(VLOOKUP(E146,'Pre-Assessment Estimator'!$E$11:$Z$226,'Pre-Assessment Estimator'!$G$2,FALSE)&gt;AB146,AB146,VLOOKUP(E146,'Pre-Assessment Estimator'!$E$11:$Z$226,'Pre-Assessment Estimator'!$G$2,FALSE))</f>
        <v>0</v>
      </c>
      <c r="AJ146" s="172">
        <f>IF(VLOOKUP(E146,'Pre-Assessment Estimator'!$E$11:$Z$226,'Pre-Assessment Estimator'!$N$2,FALSE)&gt;AB146,AB146,VLOOKUP(E146,'Pre-Assessment Estimator'!$E$11:$Z$226,'Pre-Assessment Estimator'!$N$2,FALSE))</f>
        <v>0</v>
      </c>
      <c r="AK146" s="172">
        <f>IF(VLOOKUP(E146,'Pre-Assessment Estimator'!$E$11:$Z$226,'Pre-Assessment Estimator'!$U$2,FALSE)&gt;AB146,AB146,VLOOKUP(E146,'Pre-Assessment Estimator'!$E$11:$Z$226,'Pre-Assessment Estimator'!$U$2,FALSE))</f>
        <v>0</v>
      </c>
      <c r="AM146" s="850"/>
      <c r="AN146" s="851"/>
      <c r="AO146" s="851"/>
      <c r="AP146" s="851"/>
      <c r="AQ146" s="843"/>
      <c r="AR146" s="139"/>
      <c r="AS146" s="850"/>
      <c r="AT146" s="851"/>
      <c r="AU146" s="851"/>
      <c r="AV146" s="851"/>
      <c r="AW146" s="843"/>
      <c r="AY146" s="731"/>
      <c r="AZ146" s="733"/>
      <c r="BA146" s="733"/>
      <c r="BB146" s="733"/>
      <c r="BC146" s="856"/>
      <c r="BD146" s="182">
        <f t="shared" si="336"/>
        <v>9</v>
      </c>
      <c r="BE146" s="164" t="str">
        <f t="shared" si="308"/>
        <v>N/A</v>
      </c>
      <c r="BF146" s="185"/>
      <c r="BG146" s="182">
        <f t="shared" si="337"/>
        <v>9</v>
      </c>
      <c r="BH146" s="164" t="str">
        <f t="shared" si="310"/>
        <v>N/A</v>
      </c>
      <c r="BI146" s="185"/>
      <c r="BJ146" s="182">
        <f t="shared" si="338"/>
        <v>9</v>
      </c>
      <c r="BK146" s="164" t="str">
        <f t="shared" si="311"/>
        <v>N/A</v>
      </c>
      <c r="BL146" s="847"/>
      <c r="BO146" s="167"/>
      <c r="BP146" s="167"/>
      <c r="BQ146" s="167"/>
      <c r="BR146" s="167">
        <f t="shared" si="198"/>
        <v>9</v>
      </c>
      <c r="BS146" s="167">
        <f t="shared" si="199"/>
        <v>9</v>
      </c>
      <c r="BT146" s="167">
        <f t="shared" si="200"/>
        <v>9</v>
      </c>
      <c r="BW146" s="707"/>
      <c r="BX146" s="707"/>
      <c r="BY146" s="707"/>
      <c r="BZ146" s="707"/>
      <c r="CA146" s="707"/>
      <c r="CB146" s="707"/>
    </row>
    <row r="147" spans="1:81" x14ac:dyDescent="0.25">
      <c r="A147" s="96">
        <v>139</v>
      </c>
      <c r="B147" s="96" t="str">
        <f t="shared" si="359"/>
        <v>Mat 06c</v>
      </c>
      <c r="C147" s="96" t="str">
        <f t="shared" si="344"/>
        <v>Mat 06</v>
      </c>
      <c r="D147" s="947" t="s">
        <v>697</v>
      </c>
      <c r="E147" s="1123" t="s">
        <v>661</v>
      </c>
      <c r="F147" s="775">
        <v>1</v>
      </c>
      <c r="G147" s="775">
        <v>1</v>
      </c>
      <c r="H147" s="775">
        <v>1</v>
      </c>
      <c r="I147" s="775">
        <v>1</v>
      </c>
      <c r="J147" s="775">
        <v>1</v>
      </c>
      <c r="K147" s="775">
        <v>1</v>
      </c>
      <c r="L147" s="775">
        <v>1</v>
      </c>
      <c r="M147" s="775">
        <v>1</v>
      </c>
      <c r="N147" s="775">
        <v>1</v>
      </c>
      <c r="O147" s="775">
        <v>1</v>
      </c>
      <c r="P147" s="775">
        <v>1</v>
      </c>
      <c r="Q147" s="775">
        <v>1</v>
      </c>
      <c r="R147" s="775">
        <v>1</v>
      </c>
      <c r="S147" s="137"/>
      <c r="T147" s="221">
        <f t="shared" si="298"/>
        <v>1</v>
      </c>
      <c r="U147" s="192"/>
      <c r="V147" s="193"/>
      <c r="W147" s="193"/>
      <c r="X147" s="167"/>
      <c r="Y147" s="168"/>
      <c r="Z147" s="168">
        <f>VLOOKUP(B147,'Manuell filtrering og justering'!$A$7:$H$253,'Manuell filtrering og justering'!$H$1,FALSE)</f>
        <v>1</v>
      </c>
      <c r="AA147" s="169">
        <f t="shared" si="300"/>
        <v>0</v>
      </c>
      <c r="AB147" s="170">
        <f>IF($AC$5='Manuell filtrering og justering'!$J$2,Z147,(T147-AA147))</f>
        <v>1</v>
      </c>
      <c r="AD147" s="171">
        <f t="shared" si="301"/>
        <v>8.0952380952380963E-3</v>
      </c>
      <c r="AE147" s="171">
        <f t="shared" si="312"/>
        <v>0</v>
      </c>
      <c r="AF147" s="171">
        <f t="shared" si="313"/>
        <v>0</v>
      </c>
      <c r="AG147" s="171">
        <f t="shared" si="314"/>
        <v>0</v>
      </c>
      <c r="AI147" s="172">
        <f>IF(VLOOKUP(E147,'Pre-Assessment Estimator'!$E$11:$Z$226,'Pre-Assessment Estimator'!$G$2,FALSE)&gt;AB147,AB147,VLOOKUP(E147,'Pre-Assessment Estimator'!$E$11:$Z$226,'Pre-Assessment Estimator'!$G$2,FALSE))</f>
        <v>0</v>
      </c>
      <c r="AJ147" s="172">
        <f>IF(VLOOKUP(E147,'Pre-Assessment Estimator'!$E$11:$Z$226,'Pre-Assessment Estimator'!$N$2,FALSE)&gt;AB147,AB147,VLOOKUP(E147,'Pre-Assessment Estimator'!$E$11:$Z$226,'Pre-Assessment Estimator'!$N$2,FALSE))</f>
        <v>0</v>
      </c>
      <c r="AK147" s="172">
        <f>IF(VLOOKUP(E147,'Pre-Assessment Estimator'!$E$11:$Z$226,'Pre-Assessment Estimator'!$U$2,FALSE)&gt;AB147,AB147,VLOOKUP(E147,'Pre-Assessment Estimator'!$E$11:$Z$226,'Pre-Assessment Estimator'!$U$2,FALSE))</f>
        <v>0</v>
      </c>
      <c r="AM147" s="850"/>
      <c r="AN147" s="851"/>
      <c r="AO147" s="851"/>
      <c r="AP147" s="851"/>
      <c r="AQ147" s="843"/>
      <c r="AR147" s="139"/>
      <c r="AS147" s="850"/>
      <c r="AT147" s="851"/>
      <c r="AU147" s="851"/>
      <c r="AV147" s="851"/>
      <c r="AW147" s="843"/>
      <c r="AY147" s="731"/>
      <c r="AZ147" s="733"/>
      <c r="BA147" s="733"/>
      <c r="BB147" s="733"/>
      <c r="BC147" s="856"/>
      <c r="BD147" s="182">
        <f t="shared" si="336"/>
        <v>9</v>
      </c>
      <c r="BE147" s="164" t="str">
        <f t="shared" si="308"/>
        <v>N/A</v>
      </c>
      <c r="BF147" s="185"/>
      <c r="BG147" s="182">
        <f t="shared" si="337"/>
        <v>9</v>
      </c>
      <c r="BH147" s="164" t="str">
        <f t="shared" si="310"/>
        <v>N/A</v>
      </c>
      <c r="BI147" s="185"/>
      <c r="BJ147" s="182">
        <f t="shared" si="338"/>
        <v>9</v>
      </c>
      <c r="BK147" s="164" t="str">
        <f t="shared" si="311"/>
        <v>N/A</v>
      </c>
      <c r="BL147" s="847"/>
      <c r="BO147" s="167"/>
      <c r="BP147" s="167"/>
      <c r="BQ147" s="167" t="str">
        <f t="shared" si="342"/>
        <v/>
      </c>
      <c r="BR147" s="167">
        <f t="shared" si="198"/>
        <v>9</v>
      </c>
      <c r="BS147" s="167">
        <f t="shared" si="199"/>
        <v>9</v>
      </c>
      <c r="BT147" s="167">
        <f t="shared" si="200"/>
        <v>9</v>
      </c>
      <c r="BW147" s="707"/>
      <c r="BX147" s="707"/>
      <c r="BY147" s="707"/>
      <c r="BZ147" s="707"/>
      <c r="CA147" s="707"/>
      <c r="CB147" s="707"/>
    </row>
    <row r="148" spans="1:81" x14ac:dyDescent="0.25">
      <c r="A148" s="96">
        <v>140</v>
      </c>
      <c r="B148" s="137" t="str">
        <f>D148</f>
        <v>Mat 07</v>
      </c>
      <c r="C148" s="137" t="str">
        <f>B148</f>
        <v>Mat 07</v>
      </c>
      <c r="D148" s="946" t="s">
        <v>479</v>
      </c>
      <c r="E148" s="832" t="s">
        <v>1010</v>
      </c>
      <c r="F148" s="933">
        <f>SUM(F149:F151)</f>
        <v>3</v>
      </c>
      <c r="G148" s="933">
        <f t="shared" ref="G148:R148" si="363">SUM(G149:G151)</f>
        <v>3</v>
      </c>
      <c r="H148" s="933">
        <f t="shared" si="363"/>
        <v>3</v>
      </c>
      <c r="I148" s="933">
        <f t="shared" si="363"/>
        <v>3</v>
      </c>
      <c r="J148" s="933">
        <f t="shared" si="363"/>
        <v>3</v>
      </c>
      <c r="K148" s="933">
        <f t="shared" si="363"/>
        <v>3</v>
      </c>
      <c r="L148" s="933">
        <f t="shared" si="363"/>
        <v>3</v>
      </c>
      <c r="M148" s="933">
        <f t="shared" si="363"/>
        <v>3</v>
      </c>
      <c r="N148" s="933">
        <f t="shared" si="363"/>
        <v>3</v>
      </c>
      <c r="O148" s="933">
        <f t="shared" si="363"/>
        <v>3</v>
      </c>
      <c r="P148" s="933">
        <f t="shared" si="363"/>
        <v>3</v>
      </c>
      <c r="Q148" s="933">
        <f t="shared" ref="Q148" si="364">SUM(Q149:Q151)</f>
        <v>3</v>
      </c>
      <c r="R148" s="933">
        <f t="shared" si="363"/>
        <v>3</v>
      </c>
      <c r="T148" s="963">
        <f t="shared" si="298"/>
        <v>3</v>
      </c>
      <c r="U148" s="728"/>
      <c r="V148" s="964"/>
      <c r="W148" s="964"/>
      <c r="X148" s="230">
        <f>'Manuell filtrering og justering'!E64</f>
        <v>0</v>
      </c>
      <c r="Y148" s="230"/>
      <c r="Z148" s="958">
        <f t="shared" ref="Z148" si="365">SUM(Z149:Z151)</f>
        <v>3</v>
      </c>
      <c r="AA148" s="963">
        <f t="shared" si="300"/>
        <v>0</v>
      </c>
      <c r="AB148" s="1066">
        <f>SUM(AB149:AB151)</f>
        <v>3</v>
      </c>
      <c r="AD148" s="171">
        <f t="shared" si="301"/>
        <v>2.4285714285714289E-2</v>
      </c>
      <c r="AE148" s="921">
        <f>SUM(AE149:AE151)</f>
        <v>0</v>
      </c>
      <c r="AF148" s="921">
        <f t="shared" ref="AF148" si="366">SUM(AF149:AF151)</f>
        <v>0</v>
      </c>
      <c r="AG148" s="921">
        <f t="shared" ref="AG148" si="367">SUM(AG149:AG151)</f>
        <v>0</v>
      </c>
      <c r="AI148" s="958">
        <f t="shared" ref="AI148" si="368">SUM(AI149:AI151)</f>
        <v>0</v>
      </c>
      <c r="AJ148" s="958">
        <f t="shared" ref="AJ148" si="369">SUM(AJ149:AJ151)</f>
        <v>0</v>
      </c>
      <c r="AK148" s="958">
        <f t="shared" ref="AK148" si="370">SUM(AK149:AK151)</f>
        <v>0</v>
      </c>
      <c r="AM148" s="850"/>
      <c r="AN148" s="851"/>
      <c r="AO148" s="851"/>
      <c r="AP148" s="851"/>
      <c r="AQ148" s="843"/>
      <c r="AR148" s="139"/>
      <c r="AS148" s="850"/>
      <c r="AT148" s="851"/>
      <c r="AU148" s="851"/>
      <c r="AV148" s="851"/>
      <c r="AW148" s="843"/>
      <c r="AY148" s="731"/>
      <c r="AZ148" s="733"/>
      <c r="BA148" s="733"/>
      <c r="BB148" s="733"/>
      <c r="BC148" s="717"/>
      <c r="BD148" s="182">
        <f t="shared" ref="BD148:BD151" si="371">IF(BC148=0,9,IF(AI148&gt;=BC148,5,IF(AI148&gt;=BB148,4,IF(AI148&gt;=BA148,3,IF(AI148&gt;=AZ148,2,IF(AI148&lt;AY148,0,1))))))</f>
        <v>9</v>
      </c>
      <c r="BE148" s="164" t="str">
        <f t="shared" si="308"/>
        <v>N/A</v>
      </c>
      <c r="BF148" s="185"/>
      <c r="BG148" s="182">
        <f t="shared" ref="BG148:BG151" si="372">IF(BC148=0,9,IF(AJ148&gt;=BC148,5,IF(AJ148&gt;=BB148,4,IF(AJ148&gt;=BA148,3,IF(AJ148&gt;=AZ148,2,IF(AJ148&lt;AY148,0,1))))))</f>
        <v>9</v>
      </c>
      <c r="BH148" s="164" t="str">
        <f t="shared" si="310"/>
        <v>N/A</v>
      </c>
      <c r="BI148" s="185"/>
      <c r="BJ148" s="182">
        <f t="shared" ref="BJ148:BJ151" si="373">IF(BC148=0,9,IF(AK148&gt;=BC148,5,IF(AK148&gt;=BB148,4,IF(AK148&gt;=BA148,3,IF(AK148&gt;=AZ148,2,IF(AK148&lt;AY148,0,1))))))</f>
        <v>9</v>
      </c>
      <c r="BK148" s="164" t="str">
        <f t="shared" si="311"/>
        <v>N/A</v>
      </c>
      <c r="BL148" s="847"/>
      <c r="BO148" s="167"/>
      <c r="BP148" s="167"/>
      <c r="BQ148" s="167" t="str">
        <f t="shared" si="342"/>
        <v/>
      </c>
      <c r="BR148" s="167">
        <f t="shared" si="198"/>
        <v>9</v>
      </c>
      <c r="BS148" s="167">
        <f t="shared" si="199"/>
        <v>9</v>
      </c>
      <c r="BT148" s="167">
        <f t="shared" si="200"/>
        <v>9</v>
      </c>
      <c r="BW148" s="707" t="str">
        <f>D148</f>
        <v>Mat 07</v>
      </c>
      <c r="BX148" s="707"/>
      <c r="BY148" s="707"/>
      <c r="BZ148" s="707"/>
      <c r="CA148" s="707"/>
      <c r="CB148" s="707"/>
    </row>
    <row r="149" spans="1:81" x14ac:dyDescent="0.25">
      <c r="A149" s="96">
        <v>141</v>
      </c>
      <c r="B149" s="96" t="str">
        <f t="shared" ref="B149:B151" si="374">$D$148&amp;D149</f>
        <v>Mat 07a</v>
      </c>
      <c r="C149" s="96" t="str">
        <f t="shared" si="344"/>
        <v>Mat 07</v>
      </c>
      <c r="D149" s="947" t="s">
        <v>693</v>
      </c>
      <c r="E149" s="1123" t="s">
        <v>1011</v>
      </c>
      <c r="F149" s="775">
        <v>1</v>
      </c>
      <c r="G149" s="775">
        <v>1</v>
      </c>
      <c r="H149" s="775">
        <v>1</v>
      </c>
      <c r="I149" s="775">
        <v>1</v>
      </c>
      <c r="J149" s="775">
        <v>1</v>
      </c>
      <c r="K149" s="775">
        <v>1</v>
      </c>
      <c r="L149" s="775">
        <v>1</v>
      </c>
      <c r="M149" s="775">
        <v>1</v>
      </c>
      <c r="N149" s="775">
        <v>1</v>
      </c>
      <c r="O149" s="775">
        <v>1</v>
      </c>
      <c r="P149" s="775">
        <v>1</v>
      </c>
      <c r="Q149" s="775">
        <v>1</v>
      </c>
      <c r="R149" s="775">
        <v>1</v>
      </c>
      <c r="T149" s="221">
        <f t="shared" si="298"/>
        <v>1</v>
      </c>
      <c r="U149" s="192"/>
      <c r="V149" s="193"/>
      <c r="W149" s="193"/>
      <c r="X149" s="193"/>
      <c r="Y149" s="1164"/>
      <c r="Z149" s="168">
        <f>VLOOKUP(B149,'Manuell filtrering og justering'!$A$7:$H$253,'Manuell filtrering og justering'!$H$1,FALSE)</f>
        <v>1</v>
      </c>
      <c r="AA149" s="169">
        <f t="shared" si="300"/>
        <v>0</v>
      </c>
      <c r="AB149" s="170">
        <f>IF($AC$5='Manuell filtrering og justering'!$J$2,Z149,(T149-AA149))</f>
        <v>1</v>
      </c>
      <c r="AD149" s="171">
        <f t="shared" si="301"/>
        <v>8.0952380952380963E-3</v>
      </c>
      <c r="AE149" s="171">
        <f t="shared" si="312"/>
        <v>0</v>
      </c>
      <c r="AF149" s="171">
        <f t="shared" si="313"/>
        <v>0</v>
      </c>
      <c r="AG149" s="171">
        <f t="shared" si="314"/>
        <v>0</v>
      </c>
      <c r="AI149" s="172">
        <f>IF(VLOOKUP(E149,'Pre-Assessment Estimator'!$E$11:$Z$226,'Pre-Assessment Estimator'!$G$2,FALSE)&gt;AB149,AB149,VLOOKUP(E149,'Pre-Assessment Estimator'!$E$11:$Z$226,'Pre-Assessment Estimator'!$G$2,FALSE))</f>
        <v>0</v>
      </c>
      <c r="AJ149" s="172">
        <f>IF(VLOOKUP(E149,'Pre-Assessment Estimator'!$E$11:$Z$226,'Pre-Assessment Estimator'!$N$2,FALSE)&gt;AB149,AB149,VLOOKUP(E149,'Pre-Assessment Estimator'!$E$11:$Z$226,'Pre-Assessment Estimator'!$N$2,FALSE))</f>
        <v>0</v>
      </c>
      <c r="AK149" s="172">
        <f>IF(VLOOKUP(E149,'Pre-Assessment Estimator'!$E$11:$Z$226,'Pre-Assessment Estimator'!$U$2,FALSE)&gt;AB149,AB149,VLOOKUP(E149,'Pre-Assessment Estimator'!$E$11:$Z$226,'Pre-Assessment Estimator'!$U$2,FALSE))</f>
        <v>0</v>
      </c>
      <c r="AM149" s="850"/>
      <c r="AN149" s="851"/>
      <c r="AO149" s="851"/>
      <c r="AP149" s="851"/>
      <c r="AQ149" s="843"/>
      <c r="AR149" s="139"/>
      <c r="AS149" s="850"/>
      <c r="AT149" s="851"/>
      <c r="AU149" s="851"/>
      <c r="AV149" s="851"/>
      <c r="AW149" s="843"/>
      <c r="AY149" s="731"/>
      <c r="AZ149" s="733"/>
      <c r="BA149" s="733"/>
      <c r="BB149" s="733"/>
      <c r="BC149" s="856"/>
      <c r="BD149" s="182">
        <f t="shared" si="371"/>
        <v>9</v>
      </c>
      <c r="BE149" s="164" t="str">
        <f t="shared" si="308"/>
        <v>N/A</v>
      </c>
      <c r="BF149" s="185"/>
      <c r="BG149" s="182">
        <f t="shared" si="372"/>
        <v>9</v>
      </c>
      <c r="BH149" s="164" t="str">
        <f t="shared" si="310"/>
        <v>N/A</v>
      </c>
      <c r="BI149" s="185"/>
      <c r="BJ149" s="182">
        <f t="shared" si="373"/>
        <v>9</v>
      </c>
      <c r="BK149" s="164" t="str">
        <f t="shared" si="311"/>
        <v>N/A</v>
      </c>
      <c r="BL149" s="847"/>
      <c r="BO149" s="167"/>
      <c r="BP149" s="167"/>
      <c r="BQ149" s="167"/>
      <c r="BR149" s="167">
        <f t="shared" si="198"/>
        <v>9</v>
      </c>
      <c r="BS149" s="167">
        <f t="shared" si="199"/>
        <v>9</v>
      </c>
      <c r="BT149" s="167">
        <f t="shared" si="200"/>
        <v>9</v>
      </c>
      <c r="BW149" s="707"/>
      <c r="BX149" s="707"/>
      <c r="BY149" s="707"/>
      <c r="BZ149" s="707"/>
      <c r="CA149" s="707"/>
      <c r="CB149" s="707"/>
    </row>
    <row r="150" spans="1:81" x14ac:dyDescent="0.25">
      <c r="A150" s="96">
        <v>142</v>
      </c>
      <c r="B150" s="96" t="str">
        <f t="shared" si="374"/>
        <v>Mat 07b</v>
      </c>
      <c r="C150" s="96" t="str">
        <f t="shared" si="344"/>
        <v>Mat 07</v>
      </c>
      <c r="D150" s="947" t="s">
        <v>696</v>
      </c>
      <c r="E150" s="1253" t="s">
        <v>1062</v>
      </c>
      <c r="F150" s="775">
        <v>1</v>
      </c>
      <c r="G150" s="775">
        <v>1</v>
      </c>
      <c r="H150" s="775">
        <v>1</v>
      </c>
      <c r="I150" s="775">
        <v>1</v>
      </c>
      <c r="J150" s="775">
        <v>1</v>
      </c>
      <c r="K150" s="775">
        <v>1</v>
      </c>
      <c r="L150" s="775">
        <v>1</v>
      </c>
      <c r="M150" s="775">
        <v>1</v>
      </c>
      <c r="N150" s="775">
        <v>1</v>
      </c>
      <c r="O150" s="775">
        <v>1</v>
      </c>
      <c r="P150" s="775">
        <v>1</v>
      </c>
      <c r="Q150" s="775">
        <v>1</v>
      </c>
      <c r="R150" s="775">
        <v>1</v>
      </c>
      <c r="T150" s="221">
        <f t="shared" si="298"/>
        <v>1</v>
      </c>
      <c r="U150" s="192"/>
      <c r="V150" s="193"/>
      <c r="W150" s="193"/>
      <c r="X150" s="193"/>
      <c r="Y150" s="1164"/>
      <c r="Z150" s="168">
        <f>VLOOKUP(B150,'Manuell filtrering og justering'!$A$7:$H$253,'Manuell filtrering og justering'!$H$1,FALSE)</f>
        <v>1</v>
      </c>
      <c r="AA150" s="169">
        <f t="shared" si="300"/>
        <v>0</v>
      </c>
      <c r="AB150" s="170">
        <f>IF($AC$5='Manuell filtrering og justering'!$J$2,Z150,(T150-AA150))</f>
        <v>1</v>
      </c>
      <c r="AD150" s="171">
        <f t="shared" si="301"/>
        <v>8.0952380952380963E-3</v>
      </c>
      <c r="AE150" s="171">
        <f t="shared" si="312"/>
        <v>0</v>
      </c>
      <c r="AF150" s="171">
        <f t="shared" si="313"/>
        <v>0</v>
      </c>
      <c r="AG150" s="171">
        <f t="shared" si="314"/>
        <v>0</v>
      </c>
      <c r="AI150" s="172">
        <f>IF(VLOOKUP(E150,'Pre-Assessment Estimator'!$E$11:$Z$226,'Pre-Assessment Estimator'!$G$2,FALSE)&gt;AB150,AB150,VLOOKUP(E150,'Pre-Assessment Estimator'!$E$11:$Z$226,'Pre-Assessment Estimator'!$G$2,FALSE))</f>
        <v>0</v>
      </c>
      <c r="AJ150" s="172">
        <f>IF(VLOOKUP(E150,'Pre-Assessment Estimator'!$E$11:$Z$226,'Pre-Assessment Estimator'!$N$2,FALSE)&gt;AB150,AB150,VLOOKUP(E150,'Pre-Assessment Estimator'!$E$11:$Z$226,'Pre-Assessment Estimator'!$N$2,FALSE))</f>
        <v>0</v>
      </c>
      <c r="AK150" s="172">
        <f>IF(VLOOKUP(E150,'Pre-Assessment Estimator'!$E$11:$Z$226,'Pre-Assessment Estimator'!$U$2,FALSE)&gt;AB150,AB150,VLOOKUP(E150,'Pre-Assessment Estimator'!$E$11:$Z$226,'Pre-Assessment Estimator'!$U$2,FALSE))</f>
        <v>0</v>
      </c>
      <c r="AM150" s="850"/>
      <c r="AN150" s="851"/>
      <c r="AO150" s="851"/>
      <c r="AP150" s="851">
        <v>1</v>
      </c>
      <c r="AQ150" s="843">
        <v>1</v>
      </c>
      <c r="AR150" s="139"/>
      <c r="AS150" s="850"/>
      <c r="AT150" s="851"/>
      <c r="AU150" s="851"/>
      <c r="AV150" s="851">
        <v>1</v>
      </c>
      <c r="AW150" s="843">
        <v>1</v>
      </c>
      <c r="AY150" s="731"/>
      <c r="AZ150" s="733"/>
      <c r="BA150" s="733"/>
      <c r="BB150" s="183">
        <f>IF($AB150=0,0,IF($E$6=$H$9,AV150,AP150))</f>
        <v>1</v>
      </c>
      <c r="BC150" s="183">
        <f>IF($AB150=0,0,IF($E$6=$H$9,AW150,AQ150))</f>
        <v>1</v>
      </c>
      <c r="BD150" s="182">
        <f t="shared" si="371"/>
        <v>3</v>
      </c>
      <c r="BE150" s="164" t="str">
        <f t="shared" si="308"/>
        <v>Very Good</v>
      </c>
      <c r="BF150" s="185"/>
      <c r="BG150" s="182">
        <f t="shared" si="372"/>
        <v>3</v>
      </c>
      <c r="BH150" s="164" t="str">
        <f t="shared" si="310"/>
        <v>Very Good</v>
      </c>
      <c r="BI150" s="185"/>
      <c r="BJ150" s="182">
        <f t="shared" si="373"/>
        <v>3</v>
      </c>
      <c r="BK150" s="164" t="str">
        <f t="shared" si="311"/>
        <v>Very Good</v>
      </c>
      <c r="BL150" s="847"/>
      <c r="BO150" s="167"/>
      <c r="BP150" s="167">
        <v>1</v>
      </c>
      <c r="BQ150" s="167">
        <f t="shared" si="342"/>
        <v>1</v>
      </c>
      <c r="BR150" s="167">
        <f t="shared" si="198"/>
        <v>0</v>
      </c>
      <c r="BS150" s="167">
        <f t="shared" si="199"/>
        <v>0</v>
      </c>
      <c r="BT150" s="167">
        <f t="shared" si="200"/>
        <v>0</v>
      </c>
      <c r="BW150" s="707"/>
      <c r="BX150" s="707"/>
      <c r="BY150" s="707"/>
      <c r="BZ150" s="707"/>
      <c r="CA150" s="707"/>
      <c r="CB150" s="707"/>
    </row>
    <row r="151" spans="1:81" ht="15.75" thickBot="1" x14ac:dyDescent="0.3">
      <c r="A151" s="96">
        <v>143</v>
      </c>
      <c r="B151" s="96" t="str">
        <f t="shared" si="374"/>
        <v>Mat 07c</v>
      </c>
      <c r="C151" s="96" t="str">
        <f t="shared" si="344"/>
        <v>Mat 07</v>
      </c>
      <c r="D151" s="948" t="s">
        <v>697</v>
      </c>
      <c r="E151" s="1254" t="s">
        <v>1063</v>
      </c>
      <c r="F151" s="944">
        <v>1</v>
      </c>
      <c r="G151" s="944">
        <v>1</v>
      </c>
      <c r="H151" s="944">
        <v>1</v>
      </c>
      <c r="I151" s="944">
        <v>1</v>
      </c>
      <c r="J151" s="944">
        <v>1</v>
      </c>
      <c r="K151" s="944">
        <v>1</v>
      </c>
      <c r="L151" s="944">
        <v>1</v>
      </c>
      <c r="M151" s="944">
        <v>1</v>
      </c>
      <c r="N151" s="944">
        <v>1</v>
      </c>
      <c r="O151" s="944">
        <v>1</v>
      </c>
      <c r="P151" s="944">
        <v>1</v>
      </c>
      <c r="Q151" s="944">
        <v>1</v>
      </c>
      <c r="R151" s="944">
        <v>1</v>
      </c>
      <c r="T151" s="221">
        <f t="shared" si="298"/>
        <v>1</v>
      </c>
      <c r="U151" s="192"/>
      <c r="V151" s="193"/>
      <c r="W151" s="193"/>
      <c r="X151" s="193"/>
      <c r="Y151" s="1164"/>
      <c r="Z151" s="168">
        <f>VLOOKUP(B151,'Manuell filtrering og justering'!$A$7:$H$253,'Manuell filtrering og justering'!$H$1,FALSE)</f>
        <v>1</v>
      </c>
      <c r="AA151" s="169">
        <f t="shared" si="300"/>
        <v>0</v>
      </c>
      <c r="AB151" s="170">
        <f>IF($AC$5='Manuell filtrering og justering'!$J$2,Z151,(T151-AA151))</f>
        <v>1</v>
      </c>
      <c r="AD151" s="171">
        <f t="shared" si="301"/>
        <v>8.0952380952380963E-3</v>
      </c>
      <c r="AE151" s="171">
        <f t="shared" si="312"/>
        <v>0</v>
      </c>
      <c r="AF151" s="171">
        <f t="shared" si="313"/>
        <v>0</v>
      </c>
      <c r="AG151" s="171">
        <f t="shared" si="314"/>
        <v>0</v>
      </c>
      <c r="AI151" s="172">
        <f>IF(VLOOKUP(E151,'Pre-Assessment Estimator'!$E$11:$Z$226,'Pre-Assessment Estimator'!$G$2,FALSE)&gt;AB151,AB151,VLOOKUP(E151,'Pre-Assessment Estimator'!$E$11:$Z$226,'Pre-Assessment Estimator'!$G$2,FALSE))</f>
        <v>0</v>
      </c>
      <c r="AJ151" s="172">
        <f>IF(VLOOKUP(E151,'Pre-Assessment Estimator'!$E$11:$Z$226,'Pre-Assessment Estimator'!$N$2,FALSE)&gt;AB151,AB151,VLOOKUP(E151,'Pre-Assessment Estimator'!$E$11:$Z$226,'Pre-Assessment Estimator'!$N$2,FALSE))</f>
        <v>0</v>
      </c>
      <c r="AK151" s="172">
        <f>IF(VLOOKUP(E151,'Pre-Assessment Estimator'!$E$11:$Z$226,'Pre-Assessment Estimator'!$U$2,FALSE)&gt;AB151,AB151,VLOOKUP(E151,'Pre-Assessment Estimator'!$E$11:$Z$226,'Pre-Assessment Estimator'!$U$2,FALSE))</f>
        <v>0</v>
      </c>
      <c r="AM151" s="850"/>
      <c r="AN151" s="851"/>
      <c r="AO151" s="851"/>
      <c r="AP151" s="851">
        <v>1</v>
      </c>
      <c r="AQ151" s="843">
        <v>1</v>
      </c>
      <c r="AR151" s="139"/>
      <c r="AS151" s="850"/>
      <c r="AT151" s="851"/>
      <c r="AU151" s="851"/>
      <c r="AV151" s="851">
        <v>1</v>
      </c>
      <c r="AW151" s="843">
        <v>1</v>
      </c>
      <c r="AY151" s="731"/>
      <c r="AZ151" s="733"/>
      <c r="BA151" s="733"/>
      <c r="BB151" s="183">
        <f>IF($AB151=0,0,IF($E$6=$H$9,AV151,AP151))</f>
        <v>1</v>
      </c>
      <c r="BC151" s="183">
        <f>IF($AB151=0,0,IF($E$6=$H$9,AW151,AQ151))</f>
        <v>1</v>
      </c>
      <c r="BD151" s="182">
        <f t="shared" si="371"/>
        <v>3</v>
      </c>
      <c r="BE151" s="164" t="str">
        <f t="shared" si="308"/>
        <v>Very Good</v>
      </c>
      <c r="BF151" s="185"/>
      <c r="BG151" s="182">
        <f t="shared" si="372"/>
        <v>3</v>
      </c>
      <c r="BH151" s="164" t="str">
        <f t="shared" si="310"/>
        <v>Very Good</v>
      </c>
      <c r="BI151" s="185"/>
      <c r="BJ151" s="182">
        <f t="shared" si="373"/>
        <v>3</v>
      </c>
      <c r="BK151" s="164" t="str">
        <f t="shared" si="311"/>
        <v>Very Good</v>
      </c>
      <c r="BL151" s="847"/>
      <c r="BO151" s="167"/>
      <c r="BP151" s="167">
        <v>1</v>
      </c>
      <c r="BQ151" s="167">
        <f t="shared" si="342"/>
        <v>1</v>
      </c>
      <c r="BR151" s="167">
        <f t="shared" si="198"/>
        <v>0</v>
      </c>
      <c r="BS151" s="167">
        <f t="shared" si="199"/>
        <v>0</v>
      </c>
      <c r="BT151" s="167">
        <f t="shared" si="200"/>
        <v>0</v>
      </c>
      <c r="BW151" s="707"/>
      <c r="BX151" s="707"/>
      <c r="BY151" s="707"/>
      <c r="BZ151" s="707"/>
      <c r="CA151" s="707"/>
      <c r="CB151" s="707"/>
    </row>
    <row r="152" spans="1:81" ht="15.75" thickBot="1" x14ac:dyDescent="0.3">
      <c r="A152" s="96">
        <v>144</v>
      </c>
      <c r="B152" s="96" t="s">
        <v>887</v>
      </c>
      <c r="D152" s="711"/>
      <c r="E152" s="710" t="s">
        <v>214</v>
      </c>
      <c r="F152" s="774">
        <f>F126+F130+F134+F138+F144+F148</f>
        <v>21</v>
      </c>
      <c r="G152" s="774">
        <f t="shared" ref="G152:R152" si="375">G126+G130+G134+G138+G144+G148</f>
        <v>21</v>
      </c>
      <c r="H152" s="774">
        <f t="shared" si="375"/>
        <v>21</v>
      </c>
      <c r="I152" s="774">
        <f t="shared" si="375"/>
        <v>21</v>
      </c>
      <c r="J152" s="774">
        <f t="shared" si="375"/>
        <v>21</v>
      </c>
      <c r="K152" s="774">
        <f t="shared" si="375"/>
        <v>21</v>
      </c>
      <c r="L152" s="774">
        <f t="shared" si="375"/>
        <v>21</v>
      </c>
      <c r="M152" s="774">
        <f t="shared" si="375"/>
        <v>21</v>
      </c>
      <c r="N152" s="774">
        <f t="shared" si="375"/>
        <v>21</v>
      </c>
      <c r="O152" s="774">
        <f t="shared" si="375"/>
        <v>21</v>
      </c>
      <c r="P152" s="774">
        <f t="shared" si="375"/>
        <v>21</v>
      </c>
      <c r="Q152" s="774">
        <f t="shared" ref="Q152" si="376">Q126+Q130+Q134+Q138+Q144+Q148</f>
        <v>21</v>
      </c>
      <c r="R152" s="774">
        <f t="shared" si="375"/>
        <v>21</v>
      </c>
      <c r="T152" s="226">
        <f t="shared" si="298"/>
        <v>21</v>
      </c>
      <c r="U152" s="204"/>
      <c r="V152" s="205"/>
      <c r="W152" s="205"/>
      <c r="X152" s="205"/>
      <c r="Y152" s="206"/>
      <c r="Z152" s="206"/>
      <c r="AA152" s="774">
        <f t="shared" ref="AA152:AG152" si="377">AA126+AA130+AA134+AA138+AA144+AA148</f>
        <v>0</v>
      </c>
      <c r="AB152" s="774">
        <f t="shared" si="377"/>
        <v>21</v>
      </c>
      <c r="AD152" s="208">
        <f t="shared" si="377"/>
        <v>0.17000000000000004</v>
      </c>
      <c r="AE152" s="208">
        <f t="shared" si="377"/>
        <v>0</v>
      </c>
      <c r="AF152" s="208">
        <f t="shared" si="377"/>
        <v>0</v>
      </c>
      <c r="AG152" s="208">
        <f t="shared" si="377"/>
        <v>0</v>
      </c>
      <c r="AI152" s="78">
        <f t="shared" ref="AI152:AK152" si="378">AI126+AI130+AI134+AI138+AI144+AI148</f>
        <v>0</v>
      </c>
      <c r="AJ152" s="78">
        <f t="shared" si="378"/>
        <v>0</v>
      </c>
      <c r="AK152" s="78">
        <f t="shared" si="378"/>
        <v>0</v>
      </c>
      <c r="AM152" s="139"/>
      <c r="AN152" s="139"/>
      <c r="AO152" s="139"/>
      <c r="AP152" s="139"/>
      <c r="AQ152" s="139"/>
      <c r="AR152" s="139"/>
      <c r="AS152" s="139"/>
      <c r="AT152" s="139"/>
      <c r="AU152" s="139"/>
      <c r="AV152" s="139"/>
      <c r="AW152" s="139"/>
      <c r="AY152" s="97"/>
      <c r="AZ152" s="209"/>
      <c r="BA152" s="97"/>
      <c r="BB152" s="97"/>
      <c r="BC152" s="97"/>
      <c r="BW152" s="202"/>
      <c r="BX152" s="202" t="str">
        <f>IFERROR(VLOOKUP($E152,'Pre-Assessment Estimator'!$E$11:$AB$226,'Pre-Assessment Estimator'!AB$2,FALSE),"")</f>
        <v/>
      </c>
      <c r="BY152" s="202" t="str">
        <f>IFERROR(VLOOKUP($E152,'Pre-Assessment Estimator'!$E$11:$AI$226,'Pre-Assessment Estimator'!AI$2,FALSE),"")</f>
        <v/>
      </c>
      <c r="BZ152" s="202" t="str">
        <f t="shared" ref="BZ152:CA155" si="379">IFERROR(VLOOKUP($BX152,$E$293:$H$326,F$291,FALSE),"")</f>
        <v/>
      </c>
      <c r="CA152" s="202" t="str">
        <f t="shared" si="379"/>
        <v/>
      </c>
      <c r="CB152" s="202"/>
      <c r="CC152" s="96" t="str">
        <f>IFERROR(VLOOKUP($BX152,$E$293:$H$326,I$291,FALSE),"")</f>
        <v/>
      </c>
    </row>
    <row r="153" spans="1:81" ht="15.75" thickBot="1" x14ac:dyDescent="0.3">
      <c r="A153" s="96">
        <v>145</v>
      </c>
      <c r="AI153" s="3"/>
      <c r="AJ153" s="3"/>
      <c r="AK153" s="3"/>
      <c r="AM153" s="139"/>
      <c r="AN153" s="139"/>
      <c r="AO153" s="139"/>
      <c r="AP153" s="139"/>
      <c r="AQ153" s="139"/>
      <c r="AR153" s="139"/>
      <c r="AS153" s="139"/>
      <c r="AT153" s="139"/>
      <c r="AU153" s="139"/>
      <c r="AV153" s="139"/>
      <c r="AW153" s="139"/>
      <c r="AY153" s="97"/>
      <c r="AZ153" s="97"/>
      <c r="BA153" s="97"/>
      <c r="BB153" s="97"/>
      <c r="BC153" s="97"/>
      <c r="BX153" s="96" t="str">
        <f>IFERROR(VLOOKUP($E153,'Pre-Assessment Estimator'!$E$11:$AB$226,'Pre-Assessment Estimator'!AB$2,FALSE),"")</f>
        <v/>
      </c>
      <c r="BY153" s="96" t="str">
        <f>IFERROR(VLOOKUP($E153,'Pre-Assessment Estimator'!$E$11:$AI$226,'Pre-Assessment Estimator'!AI$2,FALSE),"")</f>
        <v/>
      </c>
      <c r="BZ153" s="96" t="str">
        <f t="shared" si="379"/>
        <v/>
      </c>
      <c r="CA153" s="96" t="str">
        <f t="shared" si="379"/>
        <v/>
      </c>
      <c r="CC153" s="96" t="str">
        <f>IFERROR(VLOOKUP($BX153,$E$293:$H$326,I$291,FALSE),"")</f>
        <v/>
      </c>
    </row>
    <row r="154" spans="1:81" ht="60.75" thickBot="1" x14ac:dyDescent="0.3">
      <c r="A154" s="96">
        <v>146</v>
      </c>
      <c r="D154" s="145"/>
      <c r="E154" s="146" t="s">
        <v>69</v>
      </c>
      <c r="F154" s="1241" t="str">
        <f>$F$9</f>
        <v>Office</v>
      </c>
      <c r="G154" s="1241" t="str">
        <f>$G$9</f>
        <v>Retail</v>
      </c>
      <c r="H154" s="1245" t="str">
        <f>$H$9</f>
        <v>Residential</v>
      </c>
      <c r="I154" s="1241" t="str">
        <f>$I$9</f>
        <v>Industrial</v>
      </c>
      <c r="J154" s="1243" t="str">
        <f>$J$9</f>
        <v>Healthcare</v>
      </c>
      <c r="K154" s="1243" t="str">
        <f>$K$9</f>
        <v>Prison</v>
      </c>
      <c r="L154" s="1243" t="str">
        <f>$L$9</f>
        <v>Law Court</v>
      </c>
      <c r="M154" s="1247" t="str">
        <f>$M$9</f>
        <v>Residential institution (long term stay)</v>
      </c>
      <c r="N154" s="918" t="str">
        <f>$N$9</f>
        <v>Residential institution (short term stay)</v>
      </c>
      <c r="O154" s="918" t="str">
        <f>$O$9</f>
        <v>Non-residential institution</v>
      </c>
      <c r="P154" s="918" t="str">
        <f>$P$9</f>
        <v>Assembly and leisure</v>
      </c>
      <c r="Q154" s="1243" t="str">
        <f>$Q$9</f>
        <v>Education</v>
      </c>
      <c r="R154" s="857" t="str">
        <f>$R$9</f>
        <v>Other</v>
      </c>
      <c r="T154" s="138" t="str">
        <f>$E$6</f>
        <v>Office</v>
      </c>
      <c r="U154" s="210"/>
      <c r="V154" s="211"/>
      <c r="W154" s="211"/>
      <c r="X154" s="211"/>
      <c r="Y154" s="1165" t="s">
        <v>412</v>
      </c>
      <c r="Z154" s="347" t="s">
        <v>335</v>
      </c>
      <c r="AA154" s="150" t="s">
        <v>214</v>
      </c>
      <c r="AB154" s="59" t="s">
        <v>15</v>
      </c>
      <c r="AI154" s="42"/>
      <c r="AJ154" s="60"/>
      <c r="AK154" s="60"/>
      <c r="AM154" s="139"/>
      <c r="AN154" s="139"/>
      <c r="AO154" s="139"/>
      <c r="AP154" s="139"/>
      <c r="AQ154" s="139"/>
      <c r="AR154" s="139"/>
      <c r="AS154" s="139"/>
      <c r="AT154" s="139"/>
      <c r="AU154" s="139"/>
      <c r="AV154" s="139"/>
      <c r="AW154" s="139"/>
      <c r="AY154" s="97"/>
      <c r="AZ154" s="97"/>
      <c r="BA154" s="97"/>
      <c r="BB154" s="97"/>
      <c r="BC154" s="97"/>
      <c r="BO154" s="60"/>
      <c r="BP154" s="60"/>
      <c r="BQ154" s="60"/>
      <c r="BR154" s="60"/>
      <c r="BS154" s="60"/>
      <c r="BT154" s="60"/>
      <c r="BW154" s="146"/>
      <c r="BX154" s="146" t="str">
        <f>E154</f>
        <v>Waste</v>
      </c>
      <c r="BY154" s="146">
        <f>IFERROR(VLOOKUP($E154,'Pre-Assessment Estimator'!$E$11:$AI$226,'Pre-Assessment Estimator'!AI$2,FALSE),"")</f>
        <v>0</v>
      </c>
      <c r="BZ154" s="146" t="str">
        <f t="shared" si="379"/>
        <v/>
      </c>
      <c r="CA154" s="146" t="str">
        <f t="shared" si="379"/>
        <v/>
      </c>
      <c r="CB154" s="146"/>
      <c r="CC154" s="96" t="str">
        <f>IFERROR(VLOOKUP($BX154,$E$293:$H$326,I$291,FALSE),"")</f>
        <v/>
      </c>
    </row>
    <row r="155" spans="1:81" x14ac:dyDescent="0.25">
      <c r="A155" s="96">
        <v>147</v>
      </c>
      <c r="B155" s="137" t="str">
        <f>D155</f>
        <v>Wst 01</v>
      </c>
      <c r="C155" s="137" t="str">
        <f>B155</f>
        <v>Wst 01</v>
      </c>
      <c r="D155" s="833" t="s">
        <v>177</v>
      </c>
      <c r="E155" s="831" t="s">
        <v>159</v>
      </c>
      <c r="F155" s="933">
        <f>SUM(F156:F158)</f>
        <v>5</v>
      </c>
      <c r="G155" s="933">
        <f t="shared" ref="G155:R155" si="380">SUM(G156:G158)</f>
        <v>5</v>
      </c>
      <c r="H155" s="933">
        <f t="shared" si="380"/>
        <v>5</v>
      </c>
      <c r="I155" s="933">
        <f t="shared" si="380"/>
        <v>5</v>
      </c>
      <c r="J155" s="933">
        <f t="shared" si="380"/>
        <v>5</v>
      </c>
      <c r="K155" s="933">
        <f t="shared" si="380"/>
        <v>5</v>
      </c>
      <c r="L155" s="933">
        <f t="shared" si="380"/>
        <v>5</v>
      </c>
      <c r="M155" s="933">
        <f t="shared" si="380"/>
        <v>5</v>
      </c>
      <c r="N155" s="933">
        <f t="shared" si="380"/>
        <v>5</v>
      </c>
      <c r="O155" s="933">
        <f t="shared" si="380"/>
        <v>5</v>
      </c>
      <c r="P155" s="933">
        <f t="shared" si="380"/>
        <v>5</v>
      </c>
      <c r="Q155" s="933">
        <f t="shared" ref="Q155" si="381">SUM(Q156:Q158)</f>
        <v>5</v>
      </c>
      <c r="R155" s="933">
        <f t="shared" si="380"/>
        <v>5</v>
      </c>
      <c r="S155" s="367"/>
      <c r="T155" s="961">
        <f>HLOOKUP($E$6,$F$9:$R$231,$A155,FALSE)</f>
        <v>5</v>
      </c>
      <c r="U155" s="222"/>
      <c r="V155" s="230"/>
      <c r="W155" s="230"/>
      <c r="X155" s="230">
        <f>'Manuell filtrering og justering'!E68</f>
        <v>0</v>
      </c>
      <c r="Y155" s="230"/>
      <c r="Z155" s="933">
        <f t="shared" ref="Z155" si="382">SUM(Z156:Z158)</f>
        <v>5</v>
      </c>
      <c r="AA155" s="963">
        <f>IF(SUM(U155:Y155)&gt;T155,T155,SUM(U155:Y155))</f>
        <v>0</v>
      </c>
      <c r="AB155" s="1066">
        <f>SUM(AB156:AB158)</f>
        <v>5</v>
      </c>
      <c r="AD155" s="171">
        <f t="shared" ref="AD155:AD165" si="383">(Wst_Weight/Wst_Credits)*AB155</f>
        <v>0.05</v>
      </c>
      <c r="AE155" s="921">
        <f>SUM(AE156:AE158)</f>
        <v>0</v>
      </c>
      <c r="AF155" s="921">
        <f t="shared" ref="AF155" si="384">SUM(AF156:AF158)</f>
        <v>0</v>
      </c>
      <c r="AG155" s="921">
        <f t="shared" ref="AG155" si="385">SUM(AG156:AG158)</f>
        <v>0</v>
      </c>
      <c r="AI155" s="933">
        <f t="shared" ref="AI155" si="386">SUM(AI156:AI158)</f>
        <v>0</v>
      </c>
      <c r="AJ155" s="933">
        <f t="shared" ref="AJ155" si="387">SUM(AJ156:AJ158)</f>
        <v>0</v>
      </c>
      <c r="AK155" s="933">
        <f t="shared" ref="AK155" si="388">SUM(AK156:AK158)</f>
        <v>0</v>
      </c>
      <c r="AM155" s="298"/>
      <c r="AN155" s="299"/>
      <c r="AO155" s="299"/>
      <c r="AP155" s="299"/>
      <c r="AQ155" s="300"/>
      <c r="AR155" s="139"/>
      <c r="AS155" s="298"/>
      <c r="AT155" s="299"/>
      <c r="AU155" s="299"/>
      <c r="AV155" s="299"/>
      <c r="AW155" s="300"/>
      <c r="AY155" s="174"/>
      <c r="AZ155" s="175"/>
      <c r="BA155" s="175"/>
      <c r="BB155" s="175"/>
      <c r="BC155" s="228"/>
      <c r="BD155" s="174">
        <f t="shared" si="60"/>
        <v>9</v>
      </c>
      <c r="BE155" s="164" t="str">
        <f t="shared" ref="BE155:BE165" si="389">VLOOKUP(BD155,$BO$284:$BT$290,6,FALSE)</f>
        <v>N/A</v>
      </c>
      <c r="BF155" s="178"/>
      <c r="BG155" s="174">
        <f>IF(BC155=0,9,IF(AJ155&gt;=BC155,5,IF(AJ155&gt;=BB155,4,IF(AJ155&gt;=BA155,3,IF(AJ155&gt;=AZ155,2,IF(AJ155&lt;AY155,0,1))))))</f>
        <v>9</v>
      </c>
      <c r="BH155" s="164" t="str">
        <f t="shared" ref="BH155:BH165" si="390">VLOOKUP(BG155,$BO$284:$BT$290,6,FALSE)</f>
        <v>N/A</v>
      </c>
      <c r="BI155" s="178"/>
      <c r="BJ155" s="174">
        <f t="shared" si="28"/>
        <v>9</v>
      </c>
      <c r="BK155" s="164" t="str">
        <f t="shared" ref="BK155:BK165" si="391">VLOOKUP(BJ155,$BO$284:$BT$290,6,FALSE)</f>
        <v>N/A</v>
      </c>
      <c r="BL155" s="178"/>
      <c r="BO155" s="167"/>
      <c r="BP155" s="167"/>
      <c r="BQ155" s="167" t="str">
        <f t="shared" si="342"/>
        <v/>
      </c>
      <c r="BR155" s="167">
        <f t="shared" si="198"/>
        <v>9</v>
      </c>
      <c r="BS155" s="167">
        <f t="shared" si="199"/>
        <v>9</v>
      </c>
      <c r="BT155" s="167">
        <f t="shared" si="200"/>
        <v>9</v>
      </c>
      <c r="BW155" s="164" t="str">
        <f>D155</f>
        <v>Wst 01</v>
      </c>
      <c r="BX155" s="164" t="str">
        <f>IFERROR(VLOOKUP($E155,'Pre-Assessment Estimator'!$E$11:$AB$226,'Pre-Assessment Estimator'!AB$2,FALSE),"")</f>
        <v>N/A</v>
      </c>
      <c r="BY155" s="164">
        <f>IFERROR(VLOOKUP($E155,'Pre-Assessment Estimator'!$E$11:$AI$226,'Pre-Assessment Estimator'!AI$2,FALSE),"")</f>
        <v>0</v>
      </c>
      <c r="BZ155" s="164">
        <f t="shared" si="379"/>
        <v>1</v>
      </c>
      <c r="CA155" s="164">
        <f t="shared" si="379"/>
        <v>0</v>
      </c>
      <c r="CB155" s="164"/>
      <c r="CC155" s="96" t="s">
        <v>430</v>
      </c>
    </row>
    <row r="156" spans="1:81" x14ac:dyDescent="0.25">
      <c r="A156" s="96">
        <v>148</v>
      </c>
      <c r="B156" s="96" t="str">
        <f t="shared" ref="B156:B158" si="392">$D$155&amp;D156</f>
        <v>Wst 01a</v>
      </c>
      <c r="C156" s="96" t="str">
        <f t="shared" si="344"/>
        <v>Wst 01</v>
      </c>
      <c r="D156" s="163" t="s">
        <v>693</v>
      </c>
      <c r="E156" s="1123" t="s">
        <v>665</v>
      </c>
      <c r="F156" s="949">
        <v>1</v>
      </c>
      <c r="G156" s="949">
        <v>1</v>
      </c>
      <c r="H156" s="949">
        <v>1</v>
      </c>
      <c r="I156" s="949">
        <v>1</v>
      </c>
      <c r="J156" s="949">
        <v>1</v>
      </c>
      <c r="K156" s="949">
        <v>1</v>
      </c>
      <c r="L156" s="949">
        <v>1</v>
      </c>
      <c r="M156" s="949">
        <v>1</v>
      </c>
      <c r="N156" s="949">
        <v>1</v>
      </c>
      <c r="O156" s="949">
        <v>1</v>
      </c>
      <c r="P156" s="949">
        <v>1</v>
      </c>
      <c r="Q156" s="949">
        <v>1</v>
      </c>
      <c r="R156" s="949">
        <v>1</v>
      </c>
      <c r="S156" s="367"/>
      <c r="T156" s="221">
        <f>HLOOKUP($E$6,$F$9:$R$231,$A156,FALSE)</f>
        <v>1</v>
      </c>
      <c r="U156" s="166"/>
      <c r="V156" s="167"/>
      <c r="W156" s="167"/>
      <c r="X156" s="167"/>
      <c r="Y156" s="168"/>
      <c r="Z156" s="168">
        <f>VLOOKUP(B156,'Manuell filtrering og justering'!$A$7:$H$253,'Manuell filtrering og justering'!$H$1,FALSE)</f>
        <v>1</v>
      </c>
      <c r="AA156" s="169">
        <f>IF(SUM(U156:Y156)&gt;T156,T156,SUM(U156:Y156))</f>
        <v>0</v>
      </c>
      <c r="AB156" s="170">
        <f>IF($AC$5='Manuell filtrering og justering'!$J$2,Z156,(T156-AA156))</f>
        <v>1</v>
      </c>
      <c r="AD156" s="171">
        <f t="shared" si="383"/>
        <v>0.01</v>
      </c>
      <c r="AE156" s="171">
        <f t="shared" ref="AE156:AE165" si="393">IF(AB156=0,0,(AD156/AB156)*AI156)</f>
        <v>0</v>
      </c>
      <c r="AF156" s="171">
        <f t="shared" ref="AF156:AF165" si="394">IF(AB156=0,0,(AD156/AB156)*AJ156)</f>
        <v>0</v>
      </c>
      <c r="AG156" s="171">
        <f t="shared" ref="AG156:AG165" si="395">IF(AB156=0,0,(AD156/AB156)*AK156)</f>
        <v>0</v>
      </c>
      <c r="AI156" s="172">
        <f>IF(VLOOKUP(E156,'Pre-Assessment Estimator'!$E$11:$Z$226,'Pre-Assessment Estimator'!$G$2,FALSE)&gt;AB156,AB156,VLOOKUP(E156,'Pre-Assessment Estimator'!$E$11:$Z$226,'Pre-Assessment Estimator'!$G$2,FALSE))</f>
        <v>0</v>
      </c>
      <c r="AJ156" s="172">
        <f>IF(VLOOKUP(E156,'Pre-Assessment Estimator'!$E$11:$Z$226,'Pre-Assessment Estimator'!$N$2,FALSE)&gt;AB156,AB156,VLOOKUP(E156,'Pre-Assessment Estimator'!$E$11:$Z$226,'Pre-Assessment Estimator'!$N$2,FALSE))</f>
        <v>0</v>
      </c>
      <c r="AK156" s="172">
        <f>IF(VLOOKUP(E156,'Pre-Assessment Estimator'!$E$11:$Z$226,'Pre-Assessment Estimator'!$U$2,FALSE)&gt;AB156,AB156,VLOOKUP(E156,'Pre-Assessment Estimator'!$E$11:$Z$226,'Pre-Assessment Estimator'!$U$2,FALSE))</f>
        <v>0</v>
      </c>
      <c r="AM156" s="835"/>
      <c r="AN156" s="836"/>
      <c r="AO156" s="836">
        <v>1</v>
      </c>
      <c r="AP156" s="836">
        <v>1</v>
      </c>
      <c r="AQ156" s="837">
        <v>1</v>
      </c>
      <c r="AR156" s="139"/>
      <c r="AS156" s="835"/>
      <c r="AT156" s="836"/>
      <c r="AU156" s="836">
        <v>1</v>
      </c>
      <c r="AV156" s="836">
        <v>1</v>
      </c>
      <c r="AW156" s="837">
        <v>1</v>
      </c>
      <c r="AY156" s="828"/>
      <c r="AZ156" s="829"/>
      <c r="BA156" s="183">
        <f>IF($AB156=0,0,IF($E$6=$H$9,AU156,AO156))</f>
        <v>1</v>
      </c>
      <c r="BB156" s="183">
        <f>IF($AB156=0,0,IF($E$6=$H$9,AV156,AP156))</f>
        <v>1</v>
      </c>
      <c r="BC156" s="183">
        <f>IF($AB156=0,0,IF($E$6=$H$9,AW156,AQ156))</f>
        <v>1</v>
      </c>
      <c r="BD156" s="182">
        <f t="shared" ref="BD156:BD157" si="396">IF(BC156=0,9,IF(AI156&gt;=BC156,5,IF(AI156&gt;=BB156,4,IF(AI156&gt;=BA156,3,IF(AI156&gt;=AZ156,2,IF(AI156&lt;AY156,0,1))))))</f>
        <v>2</v>
      </c>
      <c r="BE156" s="164" t="str">
        <f t="shared" si="389"/>
        <v>Good</v>
      </c>
      <c r="BF156" s="185"/>
      <c r="BG156" s="182">
        <f t="shared" ref="BG156:BG157" si="397">IF(BC156=0,9,IF(AJ156&gt;=BC156,5,IF(AJ156&gt;=BB156,4,IF(AJ156&gt;=BA156,3,IF(AJ156&gt;=AZ156,2,IF(AJ156&lt;AY156,0,1))))))</f>
        <v>2</v>
      </c>
      <c r="BH156" s="164" t="str">
        <f t="shared" si="390"/>
        <v>Good</v>
      </c>
      <c r="BI156" s="185"/>
      <c r="BJ156" s="182">
        <f t="shared" ref="BJ156:BJ157" si="398">IF(BC156=0,9,IF(AK156&gt;=BC156,5,IF(AK156&gt;=BB156,4,IF(AK156&gt;=BA156,3,IF(AK156&gt;=AZ156,2,IF(AK156&lt;AY156,0,1))))))</f>
        <v>2</v>
      </c>
      <c r="BK156" s="164" t="str">
        <f t="shared" si="391"/>
        <v>Good</v>
      </c>
      <c r="BL156" s="830"/>
      <c r="BO156" s="167"/>
      <c r="BP156" s="1181">
        <f>1*0</f>
        <v>0</v>
      </c>
      <c r="BQ156" s="167">
        <f t="shared" si="342"/>
        <v>0</v>
      </c>
      <c r="BR156" s="167">
        <f t="shared" si="198"/>
        <v>5</v>
      </c>
      <c r="BS156" s="167">
        <f t="shared" si="199"/>
        <v>5</v>
      </c>
      <c r="BT156" s="167">
        <f t="shared" si="200"/>
        <v>5</v>
      </c>
      <c r="BW156" s="164"/>
      <c r="BX156" s="164"/>
      <c r="BY156" s="164"/>
      <c r="BZ156" s="164"/>
      <c r="CA156" s="164"/>
      <c r="CB156" s="164"/>
    </row>
    <row r="157" spans="1:81" x14ac:dyDescent="0.25">
      <c r="A157" s="96">
        <v>149</v>
      </c>
      <c r="B157" s="96" t="str">
        <f t="shared" si="392"/>
        <v>Wst 01b</v>
      </c>
      <c r="C157" s="96" t="str">
        <f t="shared" si="344"/>
        <v>Wst 01</v>
      </c>
      <c r="D157" s="163" t="s">
        <v>696</v>
      </c>
      <c r="E157" s="1123" t="s">
        <v>666</v>
      </c>
      <c r="F157" s="949">
        <v>2</v>
      </c>
      <c r="G157" s="949">
        <v>2</v>
      </c>
      <c r="H157" s="949">
        <v>2</v>
      </c>
      <c r="I157" s="949">
        <v>2</v>
      </c>
      <c r="J157" s="949">
        <v>2</v>
      </c>
      <c r="K157" s="949">
        <v>2</v>
      </c>
      <c r="L157" s="949">
        <v>2</v>
      </c>
      <c r="M157" s="949">
        <v>2</v>
      </c>
      <c r="N157" s="949">
        <v>2</v>
      </c>
      <c r="O157" s="949">
        <v>2</v>
      </c>
      <c r="P157" s="949">
        <v>2</v>
      </c>
      <c r="Q157" s="949">
        <v>2</v>
      </c>
      <c r="R157" s="949">
        <v>2</v>
      </c>
      <c r="S157" s="367"/>
      <c r="T157" s="221">
        <f>HLOOKUP($E$6,$F$9:$R$231,$A157,FALSE)</f>
        <v>2</v>
      </c>
      <c r="U157" s="166"/>
      <c r="V157" s="167"/>
      <c r="W157" s="167"/>
      <c r="X157" s="167"/>
      <c r="Y157" s="168"/>
      <c r="Z157" s="168">
        <f>VLOOKUP(B157,'Manuell filtrering og justering'!$A$7:$H$253,'Manuell filtrering og justering'!$H$1,FALSE)</f>
        <v>2</v>
      </c>
      <c r="AA157" s="169">
        <f>IF(SUM(U157:Y157)&gt;T157,T157,SUM(U157:Y157))</f>
        <v>0</v>
      </c>
      <c r="AB157" s="170">
        <f>IF($AC$5='Manuell filtrering og justering'!$J$2,Z157,(T157-AA157))</f>
        <v>2</v>
      </c>
      <c r="AD157" s="171">
        <f t="shared" si="383"/>
        <v>0.02</v>
      </c>
      <c r="AE157" s="171">
        <f t="shared" si="393"/>
        <v>0</v>
      </c>
      <c r="AF157" s="171">
        <f t="shared" si="394"/>
        <v>0</v>
      </c>
      <c r="AG157" s="171">
        <f t="shared" si="395"/>
        <v>0</v>
      </c>
      <c r="AI157" s="172">
        <f>IF(VLOOKUP(E157,'Pre-Assessment Estimator'!$E$11:$Z$226,'Pre-Assessment Estimator'!$G$2,FALSE)&gt;AB157,AB157,VLOOKUP(E157,'Pre-Assessment Estimator'!$E$11:$Z$226,'Pre-Assessment Estimator'!$G$2,FALSE))</f>
        <v>0</v>
      </c>
      <c r="AJ157" s="172">
        <f>IF(VLOOKUP(E157,'Pre-Assessment Estimator'!$E$11:$Z$226,'Pre-Assessment Estimator'!$N$2,FALSE)&gt;AB157,AB157,VLOOKUP(E157,'Pre-Assessment Estimator'!$E$11:$Z$226,'Pre-Assessment Estimator'!$N$2,FALSE))</f>
        <v>0</v>
      </c>
      <c r="AK157" s="172">
        <f>IF(VLOOKUP(E157,'Pre-Assessment Estimator'!$E$11:$Z$226,'Pre-Assessment Estimator'!$U$2,FALSE)&gt;AB157,AB157,VLOOKUP(E157,'Pre-Assessment Estimator'!$E$11:$Z$226,'Pre-Assessment Estimator'!$U$2,FALSE))</f>
        <v>0</v>
      </c>
      <c r="AM157" s="835"/>
      <c r="AN157" s="836"/>
      <c r="AO157" s="836"/>
      <c r="AP157" s="836"/>
      <c r="AQ157" s="837">
        <v>1</v>
      </c>
      <c r="AR157" s="139"/>
      <c r="AS157" s="835"/>
      <c r="AT157" s="836"/>
      <c r="AU157" s="836"/>
      <c r="AV157" s="836"/>
      <c r="AW157" s="837">
        <v>1</v>
      </c>
      <c r="AY157" s="828"/>
      <c r="AZ157" s="829"/>
      <c r="BA157" s="829"/>
      <c r="BB157" s="829"/>
      <c r="BC157" s="183">
        <f>IF($AB157=0,0,IF($E$6=$H$9,AW157,AQ157))</f>
        <v>1</v>
      </c>
      <c r="BD157" s="182">
        <f t="shared" si="396"/>
        <v>4</v>
      </c>
      <c r="BE157" s="164" t="str">
        <f t="shared" si="389"/>
        <v>Excellent</v>
      </c>
      <c r="BF157" s="185"/>
      <c r="BG157" s="182">
        <f t="shared" si="397"/>
        <v>4</v>
      </c>
      <c r="BH157" s="164" t="str">
        <f t="shared" si="390"/>
        <v>Excellent</v>
      </c>
      <c r="BI157" s="185"/>
      <c r="BJ157" s="182">
        <f t="shared" si="398"/>
        <v>4</v>
      </c>
      <c r="BK157" s="164" t="str">
        <f t="shared" si="391"/>
        <v>Excellent</v>
      </c>
      <c r="BL157" s="830"/>
      <c r="BO157" s="167"/>
      <c r="BP157" s="167"/>
      <c r="BQ157" s="167" t="str">
        <f t="shared" si="342"/>
        <v/>
      </c>
      <c r="BR157" s="167">
        <f t="shared" si="198"/>
        <v>9</v>
      </c>
      <c r="BS157" s="167">
        <f t="shared" si="199"/>
        <v>9</v>
      </c>
      <c r="BT157" s="167">
        <f t="shared" si="200"/>
        <v>9</v>
      </c>
      <c r="BW157" s="164"/>
      <c r="BX157" s="164"/>
      <c r="BY157" s="164"/>
      <c r="BZ157" s="164"/>
      <c r="CA157" s="164"/>
      <c r="CB157" s="164"/>
    </row>
    <row r="158" spans="1:81" x14ac:dyDescent="0.25">
      <c r="A158" s="96">
        <v>150</v>
      </c>
      <c r="B158" s="96" t="str">
        <f t="shared" si="392"/>
        <v>Wst 01c</v>
      </c>
      <c r="C158" s="96" t="str">
        <f t="shared" si="344"/>
        <v>Wst 01</v>
      </c>
      <c r="D158" s="163" t="s">
        <v>697</v>
      </c>
      <c r="E158" s="1123" t="s">
        <v>667</v>
      </c>
      <c r="F158" s="949">
        <v>2</v>
      </c>
      <c r="G158" s="949">
        <v>2</v>
      </c>
      <c r="H158" s="949">
        <v>2</v>
      </c>
      <c r="I158" s="949">
        <v>2</v>
      </c>
      <c r="J158" s="949">
        <v>2</v>
      </c>
      <c r="K158" s="949">
        <v>2</v>
      </c>
      <c r="L158" s="949">
        <v>2</v>
      </c>
      <c r="M158" s="949">
        <v>2</v>
      </c>
      <c r="N158" s="949">
        <v>2</v>
      </c>
      <c r="O158" s="949">
        <v>2</v>
      </c>
      <c r="P158" s="949">
        <v>2</v>
      </c>
      <c r="Q158" s="949">
        <v>2</v>
      </c>
      <c r="R158" s="949">
        <v>2</v>
      </c>
      <c r="S158" s="367"/>
      <c r="T158" s="221">
        <f>HLOOKUP($E$6,$F$9:$R$231,$A158,FALSE)</f>
        <v>2</v>
      </c>
      <c r="U158" s="166"/>
      <c r="V158" s="167"/>
      <c r="W158" s="167"/>
      <c r="X158" s="167"/>
      <c r="Y158" s="168"/>
      <c r="Z158" s="168">
        <f>VLOOKUP(B158,'Manuell filtrering og justering'!$A$7:$H$253,'Manuell filtrering og justering'!$H$1,FALSE)</f>
        <v>2</v>
      </c>
      <c r="AA158" s="169">
        <f>IF(SUM(U158:Y158)&gt;T158,T158,SUM(U158:Y158))</f>
        <v>0</v>
      </c>
      <c r="AB158" s="170">
        <f>IF($AC$5='Manuell filtrering og justering'!$J$2,Z158,(T158-AA158))</f>
        <v>2</v>
      </c>
      <c r="AD158" s="171">
        <f t="shared" si="383"/>
        <v>0.02</v>
      </c>
      <c r="AE158" s="171">
        <f t="shared" si="393"/>
        <v>0</v>
      </c>
      <c r="AF158" s="171">
        <f t="shared" si="394"/>
        <v>0</v>
      </c>
      <c r="AG158" s="171">
        <f t="shared" si="395"/>
        <v>0</v>
      </c>
      <c r="AI158" s="172">
        <f>IF(VLOOKUP(E158,'Pre-Assessment Estimator'!$E$11:$Z$226,'Pre-Assessment Estimator'!$G$2,FALSE)&gt;AB158,AB158,VLOOKUP(E158,'Pre-Assessment Estimator'!$E$11:$Z$226,'Pre-Assessment Estimator'!$G$2,FALSE))</f>
        <v>0</v>
      </c>
      <c r="AJ158" s="172">
        <f>IF(VLOOKUP(E158,'Pre-Assessment Estimator'!$E$11:$Z$226,'Pre-Assessment Estimator'!$N$2,FALSE)&gt;AB158,AB158,VLOOKUP(E158,'Pre-Assessment Estimator'!$E$11:$Z$226,'Pre-Assessment Estimator'!$N$2,FALSE))</f>
        <v>0</v>
      </c>
      <c r="AK158" s="172">
        <f>IF(VLOOKUP(E158,'Pre-Assessment Estimator'!$E$11:$Z$226,'Pre-Assessment Estimator'!$U$2,FALSE)&gt;AB158,AB158,VLOOKUP(E158,'Pre-Assessment Estimator'!$E$11:$Z$226,'Pre-Assessment Estimator'!$U$2,FALSE))</f>
        <v>0</v>
      </c>
      <c r="AM158" s="835"/>
      <c r="AN158" s="836"/>
      <c r="AO158" s="836"/>
      <c r="AP158" s="836">
        <v>2</v>
      </c>
      <c r="AQ158" s="837">
        <v>2</v>
      </c>
      <c r="AR158" s="139"/>
      <c r="AS158" s="835"/>
      <c r="AT158" s="836"/>
      <c r="AU158" s="836"/>
      <c r="AV158" s="836">
        <v>2</v>
      </c>
      <c r="AW158" s="837">
        <v>2</v>
      </c>
      <c r="AY158" s="828"/>
      <c r="AZ158" s="829"/>
      <c r="BA158" s="829"/>
      <c r="BB158" s="183">
        <f>IF($AB158=0,0,IF($E$6=$H$9,AV158,AP158))</f>
        <v>2</v>
      </c>
      <c r="BC158" s="183">
        <f>IF($AB158=0,0,IF($E$6=$H$9,AW158,AQ158))</f>
        <v>2</v>
      </c>
      <c r="BD158" s="1154">
        <f>IF(OR(AI158=0,AI158=1),3,IF(AND(AI158=2,BD251=5),5,3))</f>
        <v>3</v>
      </c>
      <c r="BE158" s="709" t="str">
        <f t="shared" si="389"/>
        <v>Very Good</v>
      </c>
      <c r="BF158" s="185"/>
      <c r="BG158" s="1154">
        <f>IF(OR(AJ158=0,AJ158=1),3,IF(AND(AJ158=2,BG251=5),5,3))</f>
        <v>3</v>
      </c>
      <c r="BH158" s="164" t="str">
        <f t="shared" si="390"/>
        <v>Very Good</v>
      </c>
      <c r="BI158" s="185"/>
      <c r="BJ158" s="1154">
        <f>IF(OR(AK158=0,AK158=1),3,IF(AND(AK158=2,BJ251=5),5,3))</f>
        <v>3</v>
      </c>
      <c r="BK158" s="164" t="str">
        <f t="shared" si="391"/>
        <v>Very Good</v>
      </c>
      <c r="BL158" s="830"/>
      <c r="BO158" s="167"/>
      <c r="BP158" s="1181">
        <f>2*0</f>
        <v>0</v>
      </c>
      <c r="BQ158" s="167">
        <f t="shared" si="342"/>
        <v>0</v>
      </c>
      <c r="BR158" s="167">
        <f t="shared" si="198"/>
        <v>5</v>
      </c>
      <c r="BS158" s="167">
        <f t="shared" si="199"/>
        <v>5</v>
      </c>
      <c r="BT158" s="167">
        <f t="shared" si="200"/>
        <v>5</v>
      </c>
      <c r="BW158" s="164"/>
      <c r="BX158" s="164"/>
      <c r="BY158" s="164"/>
      <c r="BZ158" s="164"/>
      <c r="CA158" s="164"/>
      <c r="CB158" s="164"/>
    </row>
    <row r="159" spans="1:81" x14ac:dyDescent="0.25">
      <c r="A159" s="96">
        <v>151</v>
      </c>
      <c r="D159" s="701" t="s">
        <v>178</v>
      </c>
      <c r="E159" s="702"/>
      <c r="F159" s="938"/>
      <c r="G159" s="938"/>
      <c r="H159" s="938"/>
      <c r="I159" s="938"/>
      <c r="J159" s="938"/>
      <c r="K159" s="938"/>
      <c r="L159" s="938"/>
      <c r="M159" s="938"/>
      <c r="N159" s="938"/>
      <c r="O159" s="938"/>
      <c r="P159" s="938"/>
      <c r="Q159" s="938"/>
      <c r="R159" s="938"/>
      <c r="T159" s="956"/>
      <c r="U159" s="701"/>
      <c r="V159" s="700"/>
      <c r="W159" s="700"/>
      <c r="X159" s="700"/>
      <c r="Y159" s="190"/>
      <c r="Z159" s="168"/>
      <c r="AA159" s="956"/>
      <c r="AB159" s="957"/>
      <c r="AD159" s="171">
        <f t="shared" si="383"/>
        <v>0</v>
      </c>
      <c r="AE159" s="960"/>
      <c r="AF159" s="960"/>
      <c r="AG159" s="960"/>
      <c r="AI159" s="720"/>
      <c r="AJ159" s="720"/>
      <c r="AK159" s="720"/>
      <c r="AM159" s="291"/>
      <c r="AN159" s="181"/>
      <c r="AO159" s="181"/>
      <c r="AP159" s="181"/>
      <c r="AQ159" s="186"/>
      <c r="AR159" s="139"/>
      <c r="AS159" s="291"/>
      <c r="AT159" s="181"/>
      <c r="AU159" s="181"/>
      <c r="AV159" s="181"/>
      <c r="AW159" s="186"/>
      <c r="AY159" s="182"/>
      <c r="AZ159" s="183"/>
      <c r="BA159" s="183"/>
      <c r="BB159" s="183"/>
      <c r="BC159" s="187"/>
      <c r="BD159" s="182">
        <f t="shared" si="60"/>
        <v>9</v>
      </c>
      <c r="BE159" s="164" t="str">
        <f t="shared" si="389"/>
        <v>N/A</v>
      </c>
      <c r="BF159" s="185"/>
      <c r="BG159" s="182">
        <f>IF(BC159=0,9,IF(AJ159&gt;=BC159,5,IF(AJ159&gt;=BB159,4,IF(AJ159&gt;=BA159,3,IF(AJ159&gt;=AZ159,2,IF(AJ159&lt;AY159,0,1))))))</f>
        <v>9</v>
      </c>
      <c r="BH159" s="164" t="str">
        <f t="shared" si="390"/>
        <v>N/A</v>
      </c>
      <c r="BI159" s="185"/>
      <c r="BJ159" s="182">
        <f t="shared" si="28"/>
        <v>9</v>
      </c>
      <c r="BK159" s="164" t="str">
        <f t="shared" si="391"/>
        <v>N/A</v>
      </c>
      <c r="BL159" s="185"/>
      <c r="BO159" s="167"/>
      <c r="BP159" s="167"/>
      <c r="BQ159" s="167" t="str">
        <f t="shared" si="342"/>
        <v/>
      </c>
      <c r="BR159" s="167">
        <f t="shared" ref="BR159:BR222" si="399">IF(BQ159="",9,(IF(AI159&gt;=BQ159,5,0)))</f>
        <v>9</v>
      </c>
      <c r="BS159" s="167">
        <f t="shared" ref="BS159:BS222" si="400">IF(BQ159="",9,(IF(AJ159&gt;=BQ159,5,0)))</f>
        <v>9</v>
      </c>
      <c r="BT159" s="167">
        <f t="shared" ref="BT159:BT222" si="401">IF(BQ159="",9,(IF(AK159&gt;=BQ159,5,0)))</f>
        <v>9</v>
      </c>
      <c r="BW159" s="287" t="str">
        <f>D159</f>
        <v>Wst 02</v>
      </c>
      <c r="BX159" s="287" t="str">
        <f>IFERROR(VLOOKUP($E159,'Pre-Assessment Estimator'!$E$11:$AB$226,'Pre-Assessment Estimator'!AB$2,FALSE),"")</f>
        <v/>
      </c>
      <c r="BY159" s="287" t="str">
        <f>IFERROR(VLOOKUP($E159,'Pre-Assessment Estimator'!$E$11:$AI$226,'Pre-Assessment Estimator'!AI$2,FALSE),"")</f>
        <v/>
      </c>
      <c r="BZ159" s="287" t="str">
        <f>IFERROR(VLOOKUP($BX159,$E$293:$H$326,F$291,FALSE),"")</f>
        <v/>
      </c>
      <c r="CA159" s="287" t="str">
        <f>IFERROR(VLOOKUP($BX159,$E$293:$H$326,G$291,FALSE),"")</f>
        <v/>
      </c>
      <c r="CB159" s="287"/>
      <c r="CC159" s="96" t="s">
        <v>430</v>
      </c>
    </row>
    <row r="160" spans="1:81" x14ac:dyDescent="0.25">
      <c r="A160" s="96">
        <v>152</v>
      </c>
      <c r="B160" s="137" t="str">
        <f>D160</f>
        <v>Wst 03a</v>
      </c>
      <c r="C160" s="137" t="str">
        <f>B160</f>
        <v>Wst 03a</v>
      </c>
      <c r="D160" s="834" t="s">
        <v>373</v>
      </c>
      <c r="E160" s="832" t="s">
        <v>795</v>
      </c>
      <c r="F160" s="933">
        <f>SUM(F161)</f>
        <v>1</v>
      </c>
      <c r="G160" s="933">
        <f t="shared" ref="G160:R160" si="402">SUM(G161)</f>
        <v>1</v>
      </c>
      <c r="H160" s="933">
        <f t="shared" si="402"/>
        <v>0</v>
      </c>
      <c r="I160" s="933">
        <f t="shared" si="402"/>
        <v>1</v>
      </c>
      <c r="J160" s="933">
        <f t="shared" si="402"/>
        <v>1</v>
      </c>
      <c r="K160" s="933">
        <f t="shared" si="402"/>
        <v>1</v>
      </c>
      <c r="L160" s="933">
        <f t="shared" si="402"/>
        <v>1</v>
      </c>
      <c r="M160" s="933">
        <f t="shared" si="402"/>
        <v>1</v>
      </c>
      <c r="N160" s="933">
        <f t="shared" si="402"/>
        <v>1</v>
      </c>
      <c r="O160" s="933">
        <f t="shared" si="402"/>
        <v>1</v>
      </c>
      <c r="P160" s="933">
        <f t="shared" si="402"/>
        <v>1</v>
      </c>
      <c r="Q160" s="933">
        <f t="shared" si="402"/>
        <v>1</v>
      </c>
      <c r="R160" s="933">
        <f t="shared" si="402"/>
        <v>1</v>
      </c>
      <c r="T160" s="963">
        <f t="shared" ref="T160:T165" si="403">HLOOKUP($E$6,$F$9:$R$231,$A160,FALSE)</f>
        <v>1</v>
      </c>
      <c r="U160" s="222"/>
      <c r="V160" s="230"/>
      <c r="W160" s="230"/>
      <c r="X160" s="230">
        <f>'Manuell filtrering og justering'!E70</f>
        <v>0</v>
      </c>
      <c r="Y160" s="230"/>
      <c r="Z160" s="933">
        <f t="shared" ref="Z160" si="404">SUM(Z161)</f>
        <v>1</v>
      </c>
      <c r="AA160" s="169">
        <f t="shared" ref="AA160:AA165" si="405">IF(SUM(U160:Y160)&gt;T160,T160,SUM(U160:Y160))</f>
        <v>0</v>
      </c>
      <c r="AB160" s="1066">
        <f>SUM(AB161)</f>
        <v>1</v>
      </c>
      <c r="AD160" s="171">
        <f t="shared" si="383"/>
        <v>0.01</v>
      </c>
      <c r="AE160" s="921">
        <f>SUM(AE161)</f>
        <v>0</v>
      </c>
      <c r="AF160" s="921">
        <f t="shared" ref="AF160:AG160" si="406">SUM(AF161)</f>
        <v>0</v>
      </c>
      <c r="AG160" s="921">
        <f t="shared" si="406"/>
        <v>0</v>
      </c>
      <c r="AI160" s="933">
        <f t="shared" ref="AI160" si="407">SUM(AI161)</f>
        <v>0</v>
      </c>
      <c r="AJ160" s="933">
        <f t="shared" ref="AJ160" si="408">SUM(AJ161)</f>
        <v>0</v>
      </c>
      <c r="AK160" s="933">
        <f t="shared" ref="AK160" si="409">SUM(AK161)</f>
        <v>0</v>
      </c>
      <c r="AM160" s="292"/>
      <c r="AN160" s="293"/>
      <c r="AO160" s="293"/>
      <c r="AP160" s="293"/>
      <c r="AQ160" s="294"/>
      <c r="AR160" s="139"/>
      <c r="AS160" s="292"/>
      <c r="AT160" s="293"/>
      <c r="AU160" s="293"/>
      <c r="AV160" s="293"/>
      <c r="AW160" s="294"/>
      <c r="AY160" s="188"/>
      <c r="AZ160" s="189"/>
      <c r="BA160" s="189"/>
      <c r="BB160" s="189"/>
      <c r="BC160" s="190"/>
      <c r="BD160" s="182">
        <f t="shared" si="60"/>
        <v>9</v>
      </c>
      <c r="BE160" s="164" t="str">
        <f t="shared" si="389"/>
        <v>N/A</v>
      </c>
      <c r="BF160" s="185"/>
      <c r="BG160" s="182">
        <f t="shared" ref="BG160:BG162" si="410">IF(BC160=0,9,IF(AJ160&gt;=BC160,5,IF(AJ160&gt;=BB160,4,IF(AJ160&gt;=BA160,3,IF(AJ160&gt;=AZ160,2,IF(AJ160&lt;AY160,0,1))))))</f>
        <v>9</v>
      </c>
      <c r="BH160" s="164" t="str">
        <f t="shared" si="390"/>
        <v>N/A</v>
      </c>
      <c r="BI160" s="185"/>
      <c r="BJ160" s="182">
        <f t="shared" si="28"/>
        <v>9</v>
      </c>
      <c r="BK160" s="164" t="str">
        <f t="shared" si="391"/>
        <v>N/A</v>
      </c>
      <c r="BL160" s="185"/>
      <c r="BO160" s="167"/>
      <c r="BP160" s="167"/>
      <c r="BQ160" s="167" t="str">
        <f t="shared" si="342"/>
        <v/>
      </c>
      <c r="BR160" s="167">
        <f t="shared" si="399"/>
        <v>9</v>
      </c>
      <c r="BS160" s="167">
        <f t="shared" si="400"/>
        <v>9</v>
      </c>
      <c r="BT160" s="167">
        <f t="shared" si="401"/>
        <v>9</v>
      </c>
      <c r="BW160" s="167" t="str">
        <f>D160</f>
        <v>Wst 03a</v>
      </c>
      <c r="BX160" s="167" t="str">
        <f>IFERROR(VLOOKUP($E160,'Pre-Assessment Estimator'!$E$11:$AB$226,'Pre-Assessment Estimator'!AB$2,FALSE),"")</f>
        <v>No</v>
      </c>
      <c r="BY160" s="167">
        <f>IFERROR(VLOOKUP($E160,'Pre-Assessment Estimator'!$E$11:$AI$226,'Pre-Assessment Estimator'!AI$2,FALSE),"")</f>
        <v>0</v>
      </c>
      <c r="BZ160" s="167">
        <f>IFERROR(VLOOKUP($BX160,$E$293:$H$326,F$291,FALSE),"")</f>
        <v>1</v>
      </c>
      <c r="CA160" s="167">
        <f>IFERROR(VLOOKUP($BX160,$E$293:$H$326,G$291,FALSE),"")</f>
        <v>0</v>
      </c>
      <c r="CB160" s="167"/>
      <c r="CC160" s="96" t="str">
        <f>IFERROR(VLOOKUP($BX160,$E$293:$H$326,I$291,FALSE),"")</f>
        <v/>
      </c>
    </row>
    <row r="161" spans="1:81" x14ac:dyDescent="0.25">
      <c r="A161" s="96">
        <v>153</v>
      </c>
      <c r="B161" s="96" t="str">
        <f t="shared" ref="B161" si="411">$D$160&amp;D161</f>
        <v>Wst 03aa</v>
      </c>
      <c r="C161" s="96" t="str">
        <f t="shared" si="344"/>
        <v>Wst 03a</v>
      </c>
      <c r="D161" s="166" t="s">
        <v>693</v>
      </c>
      <c r="E161" s="1107" t="s">
        <v>374</v>
      </c>
      <c r="F161" s="775">
        <v>1</v>
      </c>
      <c r="G161" s="775">
        <v>1</v>
      </c>
      <c r="H161" s="1022">
        <v>0</v>
      </c>
      <c r="I161" s="775">
        <v>1</v>
      </c>
      <c r="J161" s="775">
        <v>1</v>
      </c>
      <c r="K161" s="775">
        <v>1</v>
      </c>
      <c r="L161" s="775">
        <v>1</v>
      </c>
      <c r="M161" s="775">
        <v>1</v>
      </c>
      <c r="N161" s="775">
        <v>1</v>
      </c>
      <c r="O161" s="775">
        <v>1</v>
      </c>
      <c r="P161" s="775">
        <v>1</v>
      </c>
      <c r="Q161" s="775">
        <v>1</v>
      </c>
      <c r="R161" s="775">
        <v>1</v>
      </c>
      <c r="T161" s="221">
        <f t="shared" si="403"/>
        <v>1</v>
      </c>
      <c r="U161" s="166"/>
      <c r="V161" s="167"/>
      <c r="W161" s="167"/>
      <c r="X161" s="167"/>
      <c r="Y161" s="168"/>
      <c r="Z161" s="168">
        <f>VLOOKUP(B161,'Manuell filtrering og justering'!$A$7:$H$253,'Manuell filtrering og justering'!$H$1,FALSE)</f>
        <v>1</v>
      </c>
      <c r="AA161" s="169">
        <f t="shared" si="405"/>
        <v>0</v>
      </c>
      <c r="AB161" s="170">
        <f>IF($AC$5='Manuell filtrering og justering'!$J$2,Z161,(T161-AA161))</f>
        <v>1</v>
      </c>
      <c r="AD161" s="171">
        <f t="shared" si="383"/>
        <v>0.01</v>
      </c>
      <c r="AE161" s="171">
        <f t="shared" si="393"/>
        <v>0</v>
      </c>
      <c r="AF161" s="171">
        <f t="shared" si="394"/>
        <v>0</v>
      </c>
      <c r="AG161" s="171">
        <f t="shared" si="395"/>
        <v>0</v>
      </c>
      <c r="AI161" s="172">
        <f>IF(VLOOKUP(E161,'Pre-Assessment Estimator'!$E$11:$Z$226,'Pre-Assessment Estimator'!$G$2,FALSE)&gt;AB161,AB161,VLOOKUP(E161,'Pre-Assessment Estimator'!$E$11:$Z$226,'Pre-Assessment Estimator'!$G$2,FALSE))</f>
        <v>0</v>
      </c>
      <c r="AJ161" s="172">
        <f>IF(VLOOKUP(E161,'Pre-Assessment Estimator'!$E$11:$Z$226,'Pre-Assessment Estimator'!$N$2,FALSE)&gt;AB161,AB161,VLOOKUP(E161,'Pre-Assessment Estimator'!$E$11:$Z$226,'Pre-Assessment Estimator'!$N$2,FALSE))</f>
        <v>0</v>
      </c>
      <c r="AK161" s="172">
        <f>IF(VLOOKUP(E161,'Pre-Assessment Estimator'!$E$11:$Z$226,'Pre-Assessment Estimator'!$U$2,FALSE)&gt;AB161,AB161,VLOOKUP(E161,'Pre-Assessment Estimator'!$E$11:$Z$226,'Pre-Assessment Estimator'!$U$2,FALSE))</f>
        <v>0</v>
      </c>
      <c r="AM161" s="850"/>
      <c r="AN161" s="851"/>
      <c r="AO161" s="851"/>
      <c r="AP161" s="851">
        <v>1</v>
      </c>
      <c r="AQ161" s="843">
        <v>1</v>
      </c>
      <c r="AR161" s="139"/>
      <c r="AS161" s="850"/>
      <c r="AT161" s="851"/>
      <c r="AU161" s="851"/>
      <c r="AV161" s="851"/>
      <c r="AW161" s="843"/>
      <c r="AY161" s="731"/>
      <c r="AZ161" s="733"/>
      <c r="BA161" s="733"/>
      <c r="BB161" s="183">
        <f>IF($AB161=0,0,IF($E$6=$H$9,AV161,AP161))</f>
        <v>1</v>
      </c>
      <c r="BC161" s="183">
        <f>IF($AB161=0,0,IF($E$6=$H$9,AW161,AQ161))</f>
        <v>1</v>
      </c>
      <c r="BD161" s="182">
        <f t="shared" si="60"/>
        <v>3</v>
      </c>
      <c r="BE161" s="164" t="str">
        <f t="shared" si="389"/>
        <v>Very Good</v>
      </c>
      <c r="BF161" s="185"/>
      <c r="BG161" s="182">
        <f>IF(BC161=0,9,IF(AJ161&gt;=BC161,5,IF(AJ161&gt;=BB161,4,IF(AJ161&gt;=BA161,3,IF(AJ161&gt;=AZ161,2,IF(AJ161&lt;AY161,0,1))))))</f>
        <v>3</v>
      </c>
      <c r="BH161" s="164" t="str">
        <f t="shared" si="390"/>
        <v>Very Good</v>
      </c>
      <c r="BI161" s="185"/>
      <c r="BJ161" s="182">
        <f t="shared" si="28"/>
        <v>3</v>
      </c>
      <c r="BK161" s="164" t="str">
        <f t="shared" si="391"/>
        <v>Very Good</v>
      </c>
      <c r="BL161" s="847"/>
      <c r="BO161" s="167"/>
      <c r="BP161" s="167"/>
      <c r="BQ161" s="167" t="str">
        <f t="shared" si="342"/>
        <v/>
      </c>
      <c r="BR161" s="167">
        <f t="shared" si="399"/>
        <v>9</v>
      </c>
      <c r="BS161" s="167">
        <f t="shared" si="400"/>
        <v>9</v>
      </c>
      <c r="BT161" s="167">
        <f t="shared" si="401"/>
        <v>9</v>
      </c>
      <c r="BW161" s="167"/>
      <c r="BX161" s="167"/>
      <c r="BY161" s="167"/>
      <c r="BZ161" s="167"/>
      <c r="CA161" s="167"/>
      <c r="CB161" s="167"/>
    </row>
    <row r="162" spans="1:81" x14ac:dyDescent="0.25">
      <c r="A162" s="96">
        <v>154</v>
      </c>
      <c r="B162" s="137" t="str">
        <f>D162</f>
        <v>Wst 03b</v>
      </c>
      <c r="C162" s="137" t="str">
        <f>B162</f>
        <v>Wst 03b</v>
      </c>
      <c r="D162" s="834" t="s">
        <v>375</v>
      </c>
      <c r="E162" s="832" t="s">
        <v>796</v>
      </c>
      <c r="F162" s="933">
        <f>F163</f>
        <v>0</v>
      </c>
      <c r="G162" s="933">
        <f t="shared" ref="G162:R162" si="412">G163</f>
        <v>0</v>
      </c>
      <c r="H162" s="933">
        <f t="shared" si="412"/>
        <v>1</v>
      </c>
      <c r="I162" s="933">
        <f t="shared" si="412"/>
        <v>0</v>
      </c>
      <c r="J162" s="933">
        <f t="shared" si="412"/>
        <v>0</v>
      </c>
      <c r="K162" s="933">
        <f t="shared" si="412"/>
        <v>0</v>
      </c>
      <c r="L162" s="933">
        <f t="shared" si="412"/>
        <v>0</v>
      </c>
      <c r="M162" s="933">
        <f t="shared" si="412"/>
        <v>0</v>
      </c>
      <c r="N162" s="933">
        <f t="shared" si="412"/>
        <v>0</v>
      </c>
      <c r="O162" s="933">
        <f t="shared" si="412"/>
        <v>0</v>
      </c>
      <c r="P162" s="933">
        <f t="shared" si="412"/>
        <v>0</v>
      </c>
      <c r="Q162" s="933">
        <f t="shared" si="412"/>
        <v>0</v>
      </c>
      <c r="R162" s="933">
        <f t="shared" si="412"/>
        <v>0</v>
      </c>
      <c r="T162" s="963">
        <f t="shared" si="403"/>
        <v>0</v>
      </c>
      <c r="U162" s="222"/>
      <c r="V162" s="230"/>
      <c r="W162" s="230"/>
      <c r="X162" s="230"/>
      <c r="Y162" s="230"/>
      <c r="Z162" s="933">
        <f t="shared" ref="Z162" si="413">Z163</f>
        <v>0</v>
      </c>
      <c r="AA162" s="963">
        <f t="shared" si="405"/>
        <v>0</v>
      </c>
      <c r="AB162" s="1066">
        <f>SUM(AB163)</f>
        <v>0</v>
      </c>
      <c r="AD162" s="171">
        <f t="shared" si="383"/>
        <v>0</v>
      </c>
      <c r="AE162" s="921">
        <f>SUM(AE163)</f>
        <v>0</v>
      </c>
      <c r="AF162" s="921">
        <f t="shared" ref="AF162:AG162" si="414">SUM(AF163)</f>
        <v>0</v>
      </c>
      <c r="AG162" s="921">
        <f t="shared" si="414"/>
        <v>0</v>
      </c>
      <c r="AI162" s="933">
        <f t="shared" ref="AI162" si="415">AI163</f>
        <v>0</v>
      </c>
      <c r="AJ162" s="933">
        <f t="shared" ref="AJ162" si="416">AJ163</f>
        <v>0</v>
      </c>
      <c r="AK162" s="933">
        <f t="shared" ref="AK162" si="417">AK163</f>
        <v>0</v>
      </c>
      <c r="AM162" s="850"/>
      <c r="AN162" s="851"/>
      <c r="AO162" s="851"/>
      <c r="AP162" s="851"/>
      <c r="AQ162" s="843"/>
      <c r="AR162" s="139"/>
      <c r="AS162" s="850"/>
      <c r="AT162" s="851"/>
      <c r="AU162" s="851"/>
      <c r="AV162" s="851"/>
      <c r="AW162" s="843"/>
      <c r="AY162" s="731"/>
      <c r="AZ162" s="733"/>
      <c r="BA162" s="733"/>
      <c r="BB162" s="733"/>
      <c r="BC162" s="852"/>
      <c r="BD162" s="182">
        <f t="shared" si="60"/>
        <v>9</v>
      </c>
      <c r="BE162" s="164" t="str">
        <f t="shared" si="389"/>
        <v>N/A</v>
      </c>
      <c r="BF162" s="185"/>
      <c r="BG162" s="182">
        <f t="shared" si="410"/>
        <v>9</v>
      </c>
      <c r="BH162" s="164" t="str">
        <f t="shared" si="390"/>
        <v>N/A</v>
      </c>
      <c r="BI162" s="185"/>
      <c r="BJ162" s="182">
        <f t="shared" si="28"/>
        <v>9</v>
      </c>
      <c r="BK162" s="164" t="str">
        <f t="shared" si="391"/>
        <v>N/A</v>
      </c>
      <c r="BL162" s="847"/>
      <c r="BO162" s="167"/>
      <c r="BP162" s="167"/>
      <c r="BQ162" s="167" t="str">
        <f t="shared" si="342"/>
        <v/>
      </c>
      <c r="BR162" s="167">
        <f t="shared" si="399"/>
        <v>9</v>
      </c>
      <c r="BS162" s="167">
        <f t="shared" si="400"/>
        <v>9</v>
      </c>
      <c r="BT162" s="167">
        <f t="shared" si="401"/>
        <v>9</v>
      </c>
      <c r="BW162" s="167"/>
      <c r="BX162" s="167"/>
      <c r="BY162" s="167"/>
      <c r="BZ162" s="167"/>
      <c r="CA162" s="167"/>
      <c r="CB162" s="167"/>
    </row>
    <row r="163" spans="1:81" x14ac:dyDescent="0.25">
      <c r="A163" s="96">
        <v>155</v>
      </c>
      <c r="B163" s="96" t="str">
        <f t="shared" ref="B163" si="418">$D$162&amp;D163</f>
        <v>Wst 03ba</v>
      </c>
      <c r="C163" s="96" t="str">
        <f t="shared" si="344"/>
        <v>Wst 03b</v>
      </c>
      <c r="D163" s="166" t="s">
        <v>693</v>
      </c>
      <c r="E163" s="1107" t="s">
        <v>668</v>
      </c>
      <c r="F163" s="775">
        <v>0</v>
      </c>
      <c r="G163" s="775">
        <v>0</v>
      </c>
      <c r="H163" s="1022">
        <v>1</v>
      </c>
      <c r="I163" s="775">
        <v>0</v>
      </c>
      <c r="J163" s="775">
        <v>0</v>
      </c>
      <c r="K163" s="775">
        <v>0</v>
      </c>
      <c r="L163" s="775">
        <v>0</v>
      </c>
      <c r="M163" s="775">
        <v>0</v>
      </c>
      <c r="N163" s="775">
        <v>0</v>
      </c>
      <c r="O163" s="775">
        <v>0</v>
      </c>
      <c r="P163" s="775">
        <v>0</v>
      </c>
      <c r="Q163" s="775">
        <v>0</v>
      </c>
      <c r="R163" s="775">
        <v>0</v>
      </c>
      <c r="T163" s="221">
        <f t="shared" si="403"/>
        <v>0</v>
      </c>
      <c r="U163" s="166"/>
      <c r="V163" s="167"/>
      <c r="W163" s="167"/>
      <c r="X163" s="167"/>
      <c r="Y163" s="168"/>
      <c r="Z163" s="168">
        <f>VLOOKUP(B163,'Manuell filtrering og justering'!$A$7:$H$253,'Manuell filtrering og justering'!$H$1,FALSE)</f>
        <v>0</v>
      </c>
      <c r="AA163" s="169">
        <f t="shared" si="405"/>
        <v>0</v>
      </c>
      <c r="AB163" s="170">
        <f>IF($AC$5='Manuell filtrering og justering'!$J$2,Z163,(T163-AA163))</f>
        <v>0</v>
      </c>
      <c r="AD163" s="171">
        <f t="shared" si="383"/>
        <v>0</v>
      </c>
      <c r="AE163" s="171">
        <f t="shared" si="393"/>
        <v>0</v>
      </c>
      <c r="AF163" s="171">
        <f t="shared" si="394"/>
        <v>0</v>
      </c>
      <c r="AG163" s="171">
        <f t="shared" si="395"/>
        <v>0</v>
      </c>
      <c r="AI163" s="172">
        <f>IF(VLOOKUP(E163,'Pre-Assessment Estimator'!$E$11:$Z$226,'Pre-Assessment Estimator'!$G$2,FALSE)&gt;AB163,AB163,VLOOKUP(E163,'Pre-Assessment Estimator'!$E$11:$Z$226,'Pre-Assessment Estimator'!$G$2,FALSE))</f>
        <v>0</v>
      </c>
      <c r="AJ163" s="172">
        <f>IF(VLOOKUP(E163,'Pre-Assessment Estimator'!$E$11:$Z$226,'Pre-Assessment Estimator'!$N$2,FALSE)&gt;AB163,AB163,VLOOKUP(E163,'Pre-Assessment Estimator'!$E$11:$Z$226,'Pre-Assessment Estimator'!$N$2,FALSE))</f>
        <v>0</v>
      </c>
      <c r="AK163" s="172">
        <f>IF(VLOOKUP(E163,'Pre-Assessment Estimator'!$E$11:$Z$226,'Pre-Assessment Estimator'!$U$2,FALSE)&gt;AB163,AB163,VLOOKUP(E163,'Pre-Assessment Estimator'!$E$11:$Z$226,'Pre-Assessment Estimator'!$U$2,FALSE))</f>
        <v>0</v>
      </c>
      <c r="AM163" s="850"/>
      <c r="AN163" s="851"/>
      <c r="AO163" s="851"/>
      <c r="AP163" s="851"/>
      <c r="AQ163" s="843"/>
      <c r="AR163" s="139"/>
      <c r="AS163" s="850"/>
      <c r="AT163" s="851"/>
      <c r="AU163" s="851"/>
      <c r="AV163" s="851">
        <v>1</v>
      </c>
      <c r="AW163" s="843">
        <v>1</v>
      </c>
      <c r="AY163" s="731"/>
      <c r="AZ163" s="733"/>
      <c r="BA163" s="733"/>
      <c r="BB163" s="183">
        <f>IF($AB163=0,0,IF($E$6=$H$9,AV163,AP163))</f>
        <v>0</v>
      </c>
      <c r="BC163" s="183">
        <f>IF($AB163=0,0,IF($E$6=$H$9,AW163,AQ163))</f>
        <v>0</v>
      </c>
      <c r="BD163" s="182">
        <f t="shared" ref="BD163" si="419">IF(BC163=0,9,IF(AI163&gt;=BC163,5,IF(AI163&gt;=BB163,4,IF(AI163&gt;=BA163,3,IF(AI163&gt;=AZ163,2,IF(AI163&lt;AY163,0,1))))))</f>
        <v>9</v>
      </c>
      <c r="BE163" s="164" t="str">
        <f t="shared" si="389"/>
        <v>N/A</v>
      </c>
      <c r="BF163" s="185"/>
      <c r="BG163" s="182">
        <f>IF(BC163=0,9,IF(AJ163&gt;=BC163,5,IF(AJ163&gt;=BB163,4,IF(AJ163&gt;=BA163,3,IF(AJ163&gt;=AZ163,2,IF(AJ163&lt;AY163,0,1))))))</f>
        <v>9</v>
      </c>
      <c r="BH163" s="164" t="str">
        <f t="shared" si="390"/>
        <v>N/A</v>
      </c>
      <c r="BI163" s="185"/>
      <c r="BJ163" s="182">
        <f t="shared" ref="BJ163" si="420">IF(BC163=0,9,IF(AK163&gt;=BC163,5,IF(AK163&gt;=BB163,4,IF(AK163&gt;=BA163,3,IF(AK163&gt;=AZ163,2,IF(AK163&lt;AY163,0,1))))))</f>
        <v>9</v>
      </c>
      <c r="BK163" s="164" t="str">
        <f t="shared" si="391"/>
        <v>N/A</v>
      </c>
      <c r="BL163" s="847"/>
      <c r="BO163" s="167"/>
      <c r="BP163" s="167"/>
      <c r="BQ163" s="167" t="str">
        <f t="shared" si="342"/>
        <v/>
      </c>
      <c r="BR163" s="167">
        <f t="shared" si="399"/>
        <v>9</v>
      </c>
      <c r="BS163" s="167">
        <f t="shared" si="400"/>
        <v>9</v>
      </c>
      <c r="BT163" s="167">
        <f t="shared" si="401"/>
        <v>9</v>
      </c>
      <c r="BW163" s="167"/>
      <c r="BX163" s="167"/>
      <c r="BY163" s="167"/>
      <c r="BZ163" s="167"/>
      <c r="CA163" s="167"/>
      <c r="CB163" s="167"/>
    </row>
    <row r="164" spans="1:81" ht="15.75" thickBot="1" x14ac:dyDescent="0.3">
      <c r="A164" s="96">
        <v>156</v>
      </c>
      <c r="B164" s="137" t="str">
        <f>D164</f>
        <v>Wst 04</v>
      </c>
      <c r="C164" s="137" t="str">
        <f>B164</f>
        <v>Wst 04</v>
      </c>
      <c r="D164" s="834" t="s">
        <v>179</v>
      </c>
      <c r="E164" s="832" t="s">
        <v>959</v>
      </c>
      <c r="F164" s="933">
        <f>F165</f>
        <v>1</v>
      </c>
      <c r="G164" s="933">
        <f t="shared" ref="G164:R164" si="421">G165</f>
        <v>0</v>
      </c>
      <c r="H164" s="933">
        <f t="shared" si="421"/>
        <v>1</v>
      </c>
      <c r="I164" s="933">
        <f t="shared" si="421"/>
        <v>0</v>
      </c>
      <c r="J164" s="933">
        <f t="shared" si="421"/>
        <v>0</v>
      </c>
      <c r="K164" s="933">
        <f t="shared" si="421"/>
        <v>0</v>
      </c>
      <c r="L164" s="933">
        <f t="shared" si="421"/>
        <v>0</v>
      </c>
      <c r="M164" s="933">
        <f t="shared" si="421"/>
        <v>0</v>
      </c>
      <c r="N164" s="933">
        <f t="shared" si="421"/>
        <v>0</v>
      </c>
      <c r="O164" s="933">
        <f t="shared" si="421"/>
        <v>0</v>
      </c>
      <c r="P164" s="933">
        <f t="shared" si="421"/>
        <v>0</v>
      </c>
      <c r="Q164" s="933">
        <f t="shared" si="421"/>
        <v>0</v>
      </c>
      <c r="R164" s="933">
        <f t="shared" si="421"/>
        <v>0</v>
      </c>
      <c r="T164" s="963">
        <f t="shared" si="403"/>
        <v>1</v>
      </c>
      <c r="U164" s="222">
        <f>U165</f>
        <v>0</v>
      </c>
      <c r="V164" s="230"/>
      <c r="W164" s="230"/>
      <c r="X164" s="230">
        <f>'Manuell filtrering og justering'!E71</f>
        <v>0</v>
      </c>
      <c r="Y164" s="230"/>
      <c r="Z164" s="933">
        <f t="shared" ref="Z164" si="422">Z165</f>
        <v>0</v>
      </c>
      <c r="AA164" s="963">
        <f t="shared" si="405"/>
        <v>0</v>
      </c>
      <c r="AB164" s="1066">
        <f>SUM(AB165)</f>
        <v>1</v>
      </c>
      <c r="AD164" s="171">
        <f t="shared" si="383"/>
        <v>0.01</v>
      </c>
      <c r="AE164" s="921">
        <f>SUM(AE165)</f>
        <v>0</v>
      </c>
      <c r="AF164" s="921">
        <f t="shared" ref="AF164:AG164" si="423">SUM(AF165)</f>
        <v>0</v>
      </c>
      <c r="AG164" s="921">
        <f t="shared" si="423"/>
        <v>0</v>
      </c>
      <c r="AI164" s="933">
        <f t="shared" ref="AI164" si="424">AI165</f>
        <v>0</v>
      </c>
      <c r="AJ164" s="933">
        <f t="shared" ref="AJ164" si="425">AJ165</f>
        <v>0</v>
      </c>
      <c r="AK164" s="933">
        <f t="shared" ref="AK164" si="426">AK165</f>
        <v>0</v>
      </c>
      <c r="AM164" s="295"/>
      <c r="AN164" s="296"/>
      <c r="AO164" s="296"/>
      <c r="AP164" s="296"/>
      <c r="AQ164" s="297"/>
      <c r="AR164" s="139"/>
      <c r="AS164" s="295"/>
      <c r="AT164" s="296"/>
      <c r="AU164" s="296"/>
      <c r="AV164" s="296"/>
      <c r="AW164" s="297"/>
      <c r="AY164" s="194"/>
      <c r="AZ164" s="196"/>
      <c r="BA164" s="196"/>
      <c r="BB164" s="196"/>
      <c r="BC164" s="197"/>
      <c r="BD164" s="198">
        <f t="shared" si="60"/>
        <v>9</v>
      </c>
      <c r="BE164" s="164" t="str">
        <f t="shared" si="389"/>
        <v>N/A</v>
      </c>
      <c r="BF164" s="200"/>
      <c r="BG164" s="198">
        <f>IF(BC164=0,9,IF(AJ164&gt;=BC164,5,IF(AJ164&gt;=BB164,4,IF(AJ164&gt;=BA164,3,IF(AJ164&gt;=AZ164,2,IF(AJ164&lt;AY164,0,1))))))</f>
        <v>9</v>
      </c>
      <c r="BH164" s="164" t="str">
        <f t="shared" si="390"/>
        <v>N/A</v>
      </c>
      <c r="BI164" s="200"/>
      <c r="BJ164" s="198">
        <f t="shared" si="28"/>
        <v>9</v>
      </c>
      <c r="BK164" s="164" t="str">
        <f t="shared" si="391"/>
        <v>N/A</v>
      </c>
      <c r="BL164" s="200"/>
      <c r="BO164" s="167"/>
      <c r="BP164" s="167"/>
      <c r="BQ164" s="167" t="str">
        <f t="shared" si="342"/>
        <v/>
      </c>
      <c r="BR164" s="167">
        <f t="shared" si="399"/>
        <v>9</v>
      </c>
      <c r="BS164" s="167">
        <f t="shared" si="400"/>
        <v>9</v>
      </c>
      <c r="BT164" s="167">
        <f t="shared" si="401"/>
        <v>9</v>
      </c>
      <c r="BW164" s="167" t="str">
        <f>D164</f>
        <v>Wst 04</v>
      </c>
      <c r="BX164" s="167" t="str">
        <f>IFERROR(VLOOKUP($E164,'Pre-Assessment Estimator'!$E$11:$AB$226,'Pre-Assessment Estimator'!AB$2,FALSE),"")</f>
        <v>No</v>
      </c>
      <c r="BY164" s="167">
        <f>IFERROR(VLOOKUP($E164,'Pre-Assessment Estimator'!$E$11:$AI$226,'Pre-Assessment Estimator'!AI$2,FALSE),"")</f>
        <v>0</v>
      </c>
      <c r="BZ164" s="167">
        <f>IFERROR(VLOOKUP($BX164,$E$293:$H$326,F$291,FALSE),"")</f>
        <v>1</v>
      </c>
      <c r="CA164" s="167">
        <f>IFERROR(VLOOKUP($BX164,$E$293:$H$326,G$291,FALSE),"")</f>
        <v>0</v>
      </c>
      <c r="CB164" s="167"/>
      <c r="CC164" s="96" t="str">
        <f>IFERROR(VLOOKUP($BX164,$E$293:$H$326,I$291,FALSE),"")</f>
        <v/>
      </c>
    </row>
    <row r="165" spans="1:81" ht="15.75" thickBot="1" x14ac:dyDescent="0.3">
      <c r="A165" s="96">
        <v>157</v>
      </c>
      <c r="B165" s="96" t="str">
        <f>$D$164&amp;D165</f>
        <v>Wst 04a</v>
      </c>
      <c r="C165" s="96" t="str">
        <f t="shared" si="344"/>
        <v>Wst 04</v>
      </c>
      <c r="D165" s="231" t="s">
        <v>693</v>
      </c>
      <c r="E165" s="1107" t="s">
        <v>669</v>
      </c>
      <c r="F165" s="943">
        <v>1</v>
      </c>
      <c r="G165" s="1125">
        <v>0</v>
      </c>
      <c r="H165" s="943">
        <v>1</v>
      </c>
      <c r="I165" s="1125">
        <v>0</v>
      </c>
      <c r="J165" s="1125">
        <v>0</v>
      </c>
      <c r="K165" s="1125">
        <v>0</v>
      </c>
      <c r="L165" s="1125">
        <v>0</v>
      </c>
      <c r="M165" s="1125">
        <v>0</v>
      </c>
      <c r="N165" s="1125">
        <v>0</v>
      </c>
      <c r="O165" s="1125">
        <v>0</v>
      </c>
      <c r="P165" s="1125">
        <v>0</v>
      </c>
      <c r="Q165" s="1125">
        <v>0</v>
      </c>
      <c r="R165" s="1125">
        <v>0</v>
      </c>
      <c r="T165" s="221">
        <f t="shared" si="403"/>
        <v>1</v>
      </c>
      <c r="U165" s="192">
        <f>IF(AND(ADBT0=ADBT12,'Assessment Details'!F6&lt;&gt;'Assessment Details'!V8),Poeng!T165,0)</f>
        <v>0</v>
      </c>
      <c r="V165" s="193"/>
      <c r="W165" s="193"/>
      <c r="X165" s="193"/>
      <c r="Y165" s="169">
        <f>IF($Y$4=$Y$6,T165,0)</f>
        <v>0</v>
      </c>
      <c r="Z165" s="168">
        <f>VLOOKUP(B165,'Manuell filtrering og justering'!$A$7:$H$253,'Manuell filtrering og justering'!$H$1,FALSE)</f>
        <v>0</v>
      </c>
      <c r="AA165" s="169">
        <f t="shared" si="405"/>
        <v>0</v>
      </c>
      <c r="AB165" s="170">
        <f>IF($AC$5='Manuell filtrering og justering'!$J$2,Z165,(T165-AA165))</f>
        <v>1</v>
      </c>
      <c r="AD165" s="171">
        <f t="shared" si="383"/>
        <v>0.01</v>
      </c>
      <c r="AE165" s="171">
        <f t="shared" si="393"/>
        <v>0</v>
      </c>
      <c r="AF165" s="171">
        <f t="shared" si="394"/>
        <v>0</v>
      </c>
      <c r="AG165" s="171">
        <f t="shared" si="395"/>
        <v>0</v>
      </c>
      <c r="AI165" s="172">
        <f>IF(VLOOKUP(E165,'Pre-Assessment Estimator'!$E$11:$Z$226,'Pre-Assessment Estimator'!$G$2,FALSE)&gt;AB165,AB165,VLOOKUP(E165,'Pre-Assessment Estimator'!$E$11:$Z$226,'Pre-Assessment Estimator'!$G$2,FALSE))</f>
        <v>0</v>
      </c>
      <c r="AJ165" s="172">
        <f>IF(VLOOKUP(E165,'Pre-Assessment Estimator'!$E$11:$Z$226,'Pre-Assessment Estimator'!$N$2,FALSE)&gt;AB165,AB165,VLOOKUP(E165,'Pre-Assessment Estimator'!$E$11:$Z$226,'Pre-Assessment Estimator'!$N$2,FALSE))</f>
        <v>0</v>
      </c>
      <c r="AK165" s="172">
        <f>IF(VLOOKUP(E165,'Pre-Assessment Estimator'!$E$11:$Z$226,'Pre-Assessment Estimator'!$U$2,FALSE)&gt;AB165,AB165,VLOOKUP(E165,'Pre-Assessment Estimator'!$E$11:$Z$226,'Pre-Assessment Estimator'!$U$2,FALSE))</f>
        <v>0</v>
      </c>
      <c r="AM165" s="295"/>
      <c r="AN165" s="296"/>
      <c r="AO165" s="296"/>
      <c r="AP165" s="296"/>
      <c r="AQ165" s="297"/>
      <c r="AR165" s="139"/>
      <c r="AS165" s="295"/>
      <c r="AT165" s="296"/>
      <c r="AU165" s="296"/>
      <c r="AV165" s="296"/>
      <c r="AW165" s="297"/>
      <c r="AY165" s="194"/>
      <c r="AZ165" s="196"/>
      <c r="BA165" s="196"/>
      <c r="BB165" s="196"/>
      <c r="BC165" s="197"/>
      <c r="BD165" s="198">
        <f t="shared" ref="BD165" si="427">IF(BC165=0,9,IF(AI165&gt;=BC165,5,IF(AI165&gt;=BB165,4,IF(AI165&gt;=BA165,3,IF(AI165&gt;=AZ165,2,IF(AI165&lt;AY165,0,1))))))</f>
        <v>9</v>
      </c>
      <c r="BE165" s="164" t="str">
        <f t="shared" si="389"/>
        <v>N/A</v>
      </c>
      <c r="BF165" s="200"/>
      <c r="BG165" s="198">
        <f>IF(BC165=0,9,IF(AJ165&gt;=BC165,5,IF(AJ165&gt;=BB165,4,IF(AJ165&gt;=BA165,3,IF(AJ165&gt;=AZ165,2,IF(AJ165&lt;AY165,0,1))))))</f>
        <v>9</v>
      </c>
      <c r="BH165" s="164" t="str">
        <f t="shared" si="390"/>
        <v>N/A</v>
      </c>
      <c r="BI165" s="200"/>
      <c r="BJ165" s="198">
        <f t="shared" ref="BJ165" si="428">IF(BC165=0,9,IF(AK165&gt;=BC165,5,IF(AK165&gt;=BB165,4,IF(AK165&gt;=BA165,3,IF(AK165&gt;=AZ165,2,IF(AK165&lt;AY165,0,1))))))</f>
        <v>9</v>
      </c>
      <c r="BK165" s="164" t="str">
        <f t="shared" si="391"/>
        <v>N/A</v>
      </c>
      <c r="BL165" s="200"/>
      <c r="BO165" s="167"/>
      <c r="BP165" s="167"/>
      <c r="BQ165" s="167" t="str">
        <f t="shared" si="342"/>
        <v/>
      </c>
      <c r="BR165" s="167">
        <f t="shared" si="399"/>
        <v>9</v>
      </c>
      <c r="BS165" s="167">
        <f t="shared" si="400"/>
        <v>9</v>
      </c>
      <c r="BT165" s="167">
        <f t="shared" si="401"/>
        <v>9</v>
      </c>
      <c r="BW165" s="314"/>
      <c r="BX165" s="314"/>
      <c r="BY165" s="314"/>
      <c r="BZ165" s="314"/>
      <c r="CA165" s="314"/>
      <c r="CB165" s="314"/>
    </row>
    <row r="166" spans="1:81" ht="15.75" thickBot="1" x14ac:dyDescent="0.3">
      <c r="A166" s="96">
        <v>158</v>
      </c>
      <c r="B166" s="96" t="s">
        <v>888</v>
      </c>
      <c r="D166" s="201"/>
      <c r="E166" s="202" t="s">
        <v>214</v>
      </c>
      <c r="F166" s="773">
        <f>F155+F160+F162+F164</f>
        <v>7</v>
      </c>
      <c r="G166" s="773">
        <f t="shared" ref="G166:R166" si="429">G155+G160+G162+G164</f>
        <v>6</v>
      </c>
      <c r="H166" s="773">
        <f t="shared" si="429"/>
        <v>7</v>
      </c>
      <c r="I166" s="773">
        <f t="shared" si="429"/>
        <v>6</v>
      </c>
      <c r="J166" s="773">
        <f t="shared" si="429"/>
        <v>6</v>
      </c>
      <c r="K166" s="773">
        <f t="shared" si="429"/>
        <v>6</v>
      </c>
      <c r="L166" s="773">
        <f t="shared" si="429"/>
        <v>6</v>
      </c>
      <c r="M166" s="773">
        <f t="shared" si="429"/>
        <v>6</v>
      </c>
      <c r="N166" s="773">
        <f t="shared" si="429"/>
        <v>6</v>
      </c>
      <c r="O166" s="773">
        <f t="shared" si="429"/>
        <v>6</v>
      </c>
      <c r="P166" s="773">
        <f t="shared" si="429"/>
        <v>6</v>
      </c>
      <c r="Q166" s="773">
        <f t="shared" ref="Q166" si="430">Q155+Q160+Q162+Q164</f>
        <v>6</v>
      </c>
      <c r="R166" s="773">
        <f t="shared" si="429"/>
        <v>6</v>
      </c>
      <c r="T166" s="226">
        <f>HLOOKUP($E$6,$F$9:$R$231,$A166,FALSE)</f>
        <v>7</v>
      </c>
      <c r="U166" s="204"/>
      <c r="V166" s="205"/>
      <c r="W166" s="205"/>
      <c r="X166" s="205"/>
      <c r="Y166" s="206"/>
      <c r="Z166" s="206"/>
      <c r="AA166" s="773">
        <f t="shared" ref="AA166:AG166" si="431">AA155+AA160+AA162+AA164</f>
        <v>0</v>
      </c>
      <c r="AB166" s="773">
        <f t="shared" si="431"/>
        <v>7</v>
      </c>
      <c r="AD166" s="208">
        <f t="shared" si="431"/>
        <v>7.0000000000000007E-2</v>
      </c>
      <c r="AE166" s="208">
        <f t="shared" si="431"/>
        <v>0</v>
      </c>
      <c r="AF166" s="208">
        <f t="shared" si="431"/>
        <v>0</v>
      </c>
      <c r="AG166" s="208">
        <f t="shared" si="431"/>
        <v>0</v>
      </c>
      <c r="AI166" s="78">
        <f t="shared" ref="AI166:AK166" si="432">AI155+AI160+AI162+AI164</f>
        <v>0</v>
      </c>
      <c r="AJ166" s="78">
        <f t="shared" si="432"/>
        <v>0</v>
      </c>
      <c r="AK166" s="78">
        <f t="shared" si="432"/>
        <v>0</v>
      </c>
      <c r="AM166" s="139"/>
      <c r="AN166" s="139"/>
      <c r="AO166" s="139"/>
      <c r="AP166" s="139"/>
      <c r="AQ166" s="139"/>
      <c r="AR166" s="139"/>
      <c r="AS166" s="139"/>
      <c r="AT166" s="139"/>
      <c r="AU166" s="139"/>
      <c r="AV166" s="139"/>
      <c r="AW166" s="139"/>
      <c r="AY166" s="97"/>
      <c r="AZ166" s="209"/>
      <c r="BA166" s="97"/>
      <c r="BB166" s="97"/>
      <c r="BC166" s="97"/>
      <c r="BW166" s="202"/>
      <c r="BX166" s="202" t="str">
        <f>IFERROR(VLOOKUP($E166,'Pre-Assessment Estimator'!$E$11:$AB$226,'Pre-Assessment Estimator'!AB$2,FALSE),"")</f>
        <v/>
      </c>
      <c r="BY166" s="202" t="str">
        <f>IFERROR(VLOOKUP($E166,'Pre-Assessment Estimator'!$E$11:$AI$226,'Pre-Assessment Estimator'!AI$2,FALSE),"")</f>
        <v/>
      </c>
      <c r="BZ166" s="202" t="str">
        <f t="shared" ref="BZ166:CA169" si="433">IFERROR(VLOOKUP($BX166,$E$293:$H$326,F$291,FALSE),"")</f>
        <v/>
      </c>
      <c r="CA166" s="202" t="str">
        <f t="shared" si="433"/>
        <v/>
      </c>
      <c r="CB166" s="202"/>
      <c r="CC166" s="96" t="str">
        <f>IFERROR(VLOOKUP($BX166,$E$293:$H$326,I$291,FALSE),"")</f>
        <v/>
      </c>
    </row>
    <row r="167" spans="1:81" ht="15.75" thickBot="1" x14ac:dyDescent="0.3">
      <c r="A167" s="96">
        <v>159</v>
      </c>
      <c r="AI167" s="3"/>
      <c r="AJ167" s="3"/>
      <c r="AK167" s="3"/>
      <c r="AM167" s="139"/>
      <c r="AN167" s="139"/>
      <c r="AO167" s="139"/>
      <c r="AP167" s="139"/>
      <c r="AQ167" s="139"/>
      <c r="AR167" s="139"/>
      <c r="AS167" s="139"/>
      <c r="AT167" s="139"/>
      <c r="AU167" s="139"/>
      <c r="AV167" s="139"/>
      <c r="AW167" s="139"/>
      <c r="AY167" s="97"/>
      <c r="AZ167" s="97"/>
      <c r="BA167" s="97"/>
      <c r="BB167" s="97"/>
      <c r="BC167" s="97"/>
      <c r="BX167" s="96" t="str">
        <f>IFERROR(VLOOKUP($E167,'Pre-Assessment Estimator'!$E$11:$AB$226,'Pre-Assessment Estimator'!AB$2,FALSE),"")</f>
        <v/>
      </c>
      <c r="BY167" s="96" t="str">
        <f>IFERROR(VLOOKUP($E167,'Pre-Assessment Estimator'!$E$11:$AI$226,'Pre-Assessment Estimator'!AI$2,FALSE),"")</f>
        <v/>
      </c>
      <c r="BZ167" s="96" t="str">
        <f t="shared" si="433"/>
        <v/>
      </c>
      <c r="CA167" s="96" t="str">
        <f t="shared" si="433"/>
        <v/>
      </c>
      <c r="CC167" s="96" t="str">
        <f>IFERROR(VLOOKUP($BX167,$E$293:$H$326,I$291,FALSE),"")</f>
        <v/>
      </c>
    </row>
    <row r="168" spans="1:81" ht="60.75" thickBot="1" x14ac:dyDescent="0.3">
      <c r="A168" s="96">
        <v>160</v>
      </c>
      <c r="D168" s="151"/>
      <c r="E168" s="152" t="s">
        <v>225</v>
      </c>
      <c r="F168" s="1241" t="str">
        <f>$F$9</f>
        <v>Office</v>
      </c>
      <c r="G168" s="1241" t="str">
        <f>$G$9</f>
        <v>Retail</v>
      </c>
      <c r="H168" s="1245" t="str">
        <f>$H$9</f>
        <v>Residential</v>
      </c>
      <c r="I168" s="1241" t="str">
        <f>$I$9</f>
        <v>Industrial</v>
      </c>
      <c r="J168" s="1243" t="str">
        <f>$J$9</f>
        <v>Healthcare</v>
      </c>
      <c r="K168" s="1243" t="str">
        <f>$K$9</f>
        <v>Prison</v>
      </c>
      <c r="L168" s="1243" t="str">
        <f>$L$9</f>
        <v>Law Court</v>
      </c>
      <c r="M168" s="1247" t="str">
        <f>$M$9</f>
        <v>Residential institution (long term stay)</v>
      </c>
      <c r="N168" s="918" t="str">
        <f>$N$9</f>
        <v>Residential institution (short term stay)</v>
      </c>
      <c r="O168" s="918" t="str">
        <f>$O$9</f>
        <v>Non-residential institution</v>
      </c>
      <c r="P168" s="918" t="str">
        <f>$P$9</f>
        <v>Assembly and leisure</v>
      </c>
      <c r="Q168" s="1243" t="str">
        <f>$Q$9</f>
        <v>Education</v>
      </c>
      <c r="R168" s="857" t="str">
        <f>$R$9</f>
        <v>Other</v>
      </c>
      <c r="T168" s="138" t="str">
        <f>$E$6</f>
        <v>Office</v>
      </c>
      <c r="U168" s="210"/>
      <c r="V168" s="211"/>
      <c r="W168" s="211"/>
      <c r="X168" s="211"/>
      <c r="Y168" s="1165" t="s">
        <v>412</v>
      </c>
      <c r="Z168" s="347" t="s">
        <v>335</v>
      </c>
      <c r="AA168" s="150" t="s">
        <v>214</v>
      </c>
      <c r="AB168" s="59" t="s">
        <v>15</v>
      </c>
      <c r="AI168" s="42"/>
      <c r="AJ168" s="60"/>
      <c r="AK168" s="60"/>
      <c r="AM168" s="139"/>
      <c r="AN168" s="139"/>
      <c r="AO168" s="139"/>
      <c r="AP168" s="139"/>
      <c r="AQ168" s="139"/>
      <c r="AR168" s="139"/>
      <c r="AS168" s="139"/>
      <c r="AT168" s="139"/>
      <c r="AU168" s="139"/>
      <c r="AV168" s="139"/>
      <c r="AW168" s="139"/>
      <c r="AY168" s="97"/>
      <c r="AZ168" s="97"/>
      <c r="BA168" s="97"/>
      <c r="BB168" s="97"/>
      <c r="BC168" s="97"/>
      <c r="BO168" s="60"/>
      <c r="BP168" s="60"/>
      <c r="BQ168" s="60"/>
      <c r="BR168" s="60"/>
      <c r="BS168" s="60"/>
      <c r="BT168" s="60"/>
      <c r="BW168" s="146"/>
      <c r="BX168" s="146" t="str">
        <f>E168</f>
        <v>Land &amp; Ecology</v>
      </c>
      <c r="BY168" s="146" t="str">
        <f>IFERROR(VLOOKUP($E168,'Pre-Assessment Estimator'!$E$11:$AI$226,'Pre-Assessment Estimator'!AI$2,FALSE),"")</f>
        <v/>
      </c>
      <c r="BZ168" s="146" t="str">
        <f t="shared" si="433"/>
        <v/>
      </c>
      <c r="CA168" s="146" t="str">
        <f t="shared" si="433"/>
        <v/>
      </c>
      <c r="CB168" s="146"/>
      <c r="CC168" s="96" t="str">
        <f>IFERROR(VLOOKUP($BX168,$E$293:$H$326,I$291,FALSE),"")</f>
        <v/>
      </c>
    </row>
    <row r="169" spans="1:81" x14ac:dyDescent="0.25">
      <c r="A169" s="96">
        <v>161</v>
      </c>
      <c r="B169" s="137" t="str">
        <f>D169</f>
        <v>LE 01</v>
      </c>
      <c r="C169" s="137" t="str">
        <f>B169</f>
        <v>LE 01</v>
      </c>
      <c r="D169" s="858" t="s">
        <v>180</v>
      </c>
      <c r="E169" s="859" t="s">
        <v>160</v>
      </c>
      <c r="F169" s="933">
        <f>F170</f>
        <v>2</v>
      </c>
      <c r="G169" s="933">
        <f t="shared" ref="G169:R169" si="434">G170</f>
        <v>2</v>
      </c>
      <c r="H169" s="933">
        <f t="shared" si="434"/>
        <v>2</v>
      </c>
      <c r="I169" s="933">
        <f t="shared" si="434"/>
        <v>2</v>
      </c>
      <c r="J169" s="933">
        <f t="shared" si="434"/>
        <v>2</v>
      </c>
      <c r="K169" s="933">
        <f t="shared" si="434"/>
        <v>2</v>
      </c>
      <c r="L169" s="933">
        <f t="shared" si="434"/>
        <v>2</v>
      </c>
      <c r="M169" s="933">
        <f t="shared" si="434"/>
        <v>2</v>
      </c>
      <c r="N169" s="933">
        <f t="shared" si="434"/>
        <v>2</v>
      </c>
      <c r="O169" s="933">
        <f t="shared" si="434"/>
        <v>2</v>
      </c>
      <c r="P169" s="933">
        <f t="shared" si="434"/>
        <v>2</v>
      </c>
      <c r="Q169" s="933">
        <f t="shared" si="434"/>
        <v>2</v>
      </c>
      <c r="R169" s="933">
        <f t="shared" si="434"/>
        <v>2</v>
      </c>
      <c r="T169" s="961">
        <f t="shared" ref="T169:T197" si="435">HLOOKUP($E$6,$F$9:$R$231,$A169,FALSE)</f>
        <v>2</v>
      </c>
      <c r="U169" s="222"/>
      <c r="V169" s="230"/>
      <c r="W169" s="230"/>
      <c r="X169" s="230">
        <f>'Manuell filtrering og justering'!E75</f>
        <v>0</v>
      </c>
      <c r="Y169" s="230"/>
      <c r="Z169" s="958">
        <f t="shared" ref="Z169" si="436">Z170</f>
        <v>2</v>
      </c>
      <c r="AA169" s="963">
        <f t="shared" ref="AA169:AA196" si="437">IF(SUM(U169:Y169)&gt;T169,T169,SUM(U169:Y169))</f>
        <v>0</v>
      </c>
      <c r="AB169" s="1066">
        <f>SUM(AB170)</f>
        <v>2</v>
      </c>
      <c r="AD169" s="171">
        <f t="shared" ref="AD169:AD196" si="438">(LE_Weight/LE_Credits)*AB169</f>
        <v>1.5789473684210527E-2</v>
      </c>
      <c r="AE169" s="921">
        <f>SUM(AE170)</f>
        <v>0</v>
      </c>
      <c r="AF169" s="921">
        <f t="shared" ref="AF169" si="439">SUM(AF170)</f>
        <v>0</v>
      </c>
      <c r="AG169" s="921">
        <f t="shared" ref="AG169" si="440">SUM(AG170)</f>
        <v>0</v>
      </c>
      <c r="AI169" s="958">
        <f t="shared" ref="AI169" si="441">AI170</f>
        <v>0</v>
      </c>
      <c r="AJ169" s="958">
        <f t="shared" ref="AJ169" si="442">AJ170</f>
        <v>0</v>
      </c>
      <c r="AK169" s="958">
        <f t="shared" ref="AK169" si="443">AK170</f>
        <v>0</v>
      </c>
      <c r="AM169" s="298"/>
      <c r="AN169" s="299"/>
      <c r="AO169" s="299"/>
      <c r="AP169" s="299"/>
      <c r="AQ169" s="300"/>
      <c r="AR169" s="139"/>
      <c r="AS169" s="298"/>
      <c r="AT169" s="299"/>
      <c r="AU169" s="299"/>
      <c r="AV169" s="299"/>
      <c r="AW169" s="300"/>
      <c r="AY169" s="218"/>
      <c r="AZ169" s="219"/>
      <c r="BA169" s="219"/>
      <c r="BB169" s="219"/>
      <c r="BC169" s="220"/>
      <c r="BD169" s="174">
        <f t="shared" si="60"/>
        <v>9</v>
      </c>
      <c r="BE169" s="164" t="str">
        <f t="shared" ref="BE169:BE196" si="444">VLOOKUP(BD169,$BO$284:$BT$290,6,FALSE)</f>
        <v>N/A</v>
      </c>
      <c r="BF169" s="178"/>
      <c r="BG169" s="174">
        <f t="shared" ref="BG169:BG172" si="445">IF(BC169=0,9,IF(AJ169&gt;=BC169,5,IF(AJ169&gt;=BB169,4,IF(AJ169&gt;=BA169,3,IF(AJ169&gt;=AZ169,2,IF(AJ169&lt;AY169,0,1))))))</f>
        <v>9</v>
      </c>
      <c r="BH169" s="164" t="str">
        <f t="shared" ref="BH169:BH196" si="446">VLOOKUP(BG169,$BO$284:$BT$290,6,FALSE)</f>
        <v>N/A</v>
      </c>
      <c r="BI169" s="178"/>
      <c r="BJ169" s="174">
        <f t="shared" ref="BJ169:BJ225" si="447">IF(BC169=0,9,IF(AK169&gt;=BC169,5,IF(AK169&gt;=BB169,4,IF(AK169&gt;=BA169,3,IF(AK169&gt;=AZ169,2,IF(AK169&lt;AY169,0,1))))))</f>
        <v>9</v>
      </c>
      <c r="BK169" s="164" t="str">
        <f t="shared" ref="BK169:BK196" si="448">VLOOKUP(BJ169,$BO$284:$BT$290,6,FALSE)</f>
        <v>N/A</v>
      </c>
      <c r="BL169" s="178"/>
      <c r="BO169" s="167"/>
      <c r="BP169" s="167"/>
      <c r="BQ169" s="167" t="str">
        <f t="shared" si="342"/>
        <v/>
      </c>
      <c r="BR169" s="167">
        <f t="shared" si="399"/>
        <v>9</v>
      </c>
      <c r="BS169" s="167">
        <f t="shared" si="400"/>
        <v>9</v>
      </c>
      <c r="BT169" s="167">
        <f t="shared" si="401"/>
        <v>9</v>
      </c>
      <c r="BW169" s="164" t="str">
        <f>D169</f>
        <v>LE 01</v>
      </c>
      <c r="BX169" s="164" t="str">
        <f>IFERROR(VLOOKUP($E169,'Pre-Assessment Estimator'!$E$11:$AB$226,'Pre-Assessment Estimator'!AB$2,FALSE),"")</f>
        <v>N/A</v>
      </c>
      <c r="BY169" s="164">
        <f>IFERROR(VLOOKUP($E169,'Pre-Assessment Estimator'!$E$11:$AI$226,'Pre-Assessment Estimator'!AI$2,FALSE),"")</f>
        <v>0</v>
      </c>
      <c r="BZ169" s="164">
        <f t="shared" si="433"/>
        <v>1</v>
      </c>
      <c r="CA169" s="164">
        <f t="shared" si="433"/>
        <v>0</v>
      </c>
      <c r="CB169" s="164"/>
      <c r="CC169" s="96" t="str">
        <f>IFERROR(VLOOKUP($BX169,$E$293:$H$326,I$291,FALSE),"")</f>
        <v/>
      </c>
    </row>
    <row r="170" spans="1:81" x14ac:dyDescent="0.25">
      <c r="A170" s="96">
        <v>162</v>
      </c>
      <c r="B170" s="96" t="str">
        <f t="shared" ref="B170" si="449">$D$169&amp;D170</f>
        <v>LE 01a</v>
      </c>
      <c r="C170" s="96" t="str">
        <f t="shared" si="344"/>
        <v>LE 01</v>
      </c>
      <c r="D170" s="166" t="s">
        <v>693</v>
      </c>
      <c r="E170" s="1107" t="s">
        <v>671</v>
      </c>
      <c r="F170" s="775">
        <v>2</v>
      </c>
      <c r="G170" s="775">
        <v>2</v>
      </c>
      <c r="H170" s="775">
        <v>2</v>
      </c>
      <c r="I170" s="775">
        <v>2</v>
      </c>
      <c r="J170" s="775">
        <v>2</v>
      </c>
      <c r="K170" s="775">
        <v>2</v>
      </c>
      <c r="L170" s="775">
        <v>2</v>
      </c>
      <c r="M170" s="775">
        <v>2</v>
      </c>
      <c r="N170" s="775">
        <v>2</v>
      </c>
      <c r="O170" s="775">
        <v>2</v>
      </c>
      <c r="P170" s="775">
        <v>2</v>
      </c>
      <c r="Q170" s="775">
        <v>2</v>
      </c>
      <c r="R170" s="775">
        <v>2</v>
      </c>
      <c r="T170" s="221">
        <f t="shared" si="435"/>
        <v>2</v>
      </c>
      <c r="U170" s="166"/>
      <c r="V170" s="167"/>
      <c r="W170" s="167"/>
      <c r="X170" s="167"/>
      <c r="Y170" s="168"/>
      <c r="Z170" s="168">
        <f>VLOOKUP(B170,'Manuell filtrering og justering'!$A$7:$H$253,'Manuell filtrering og justering'!$H$1,FALSE)</f>
        <v>2</v>
      </c>
      <c r="AA170" s="169">
        <f t="shared" si="437"/>
        <v>0</v>
      </c>
      <c r="AB170" s="170">
        <f>IF($AC$5='Manuell filtrering og justering'!$J$2,Z170,(T170-AA170))</f>
        <v>2</v>
      </c>
      <c r="AD170" s="171">
        <f t="shared" si="438"/>
        <v>1.5789473684210527E-2</v>
      </c>
      <c r="AE170" s="171">
        <f t="shared" ref="AE170:AE196" si="450">IF(AB170=0,0,(AD170/AB170)*AI170)</f>
        <v>0</v>
      </c>
      <c r="AF170" s="171">
        <f t="shared" ref="AF170:AF196" si="451">IF(AB170=0,0,(AD170/AB170)*AJ170)</f>
        <v>0</v>
      </c>
      <c r="AG170" s="171">
        <f t="shared" ref="AG170:AG196" si="452">IF(AB170=0,0,(AD170/AB170)*AK170)</f>
        <v>0</v>
      </c>
      <c r="AI170" s="172">
        <f>IF(VLOOKUP(E170,'Pre-Assessment Estimator'!$E$11:$Z$226,'Pre-Assessment Estimator'!$G$2,FALSE)&gt;AB170,AB170,VLOOKUP(E170,'Pre-Assessment Estimator'!$E$11:$Z$226,'Pre-Assessment Estimator'!$G$2,FALSE))</f>
        <v>0</v>
      </c>
      <c r="AJ170" s="172">
        <f>IF(VLOOKUP(E170,'Pre-Assessment Estimator'!$E$11:$Z$226,'Pre-Assessment Estimator'!$N$2,FALSE)&gt;AB170,AB170,VLOOKUP(E170,'Pre-Assessment Estimator'!$E$11:$Z$226,'Pre-Assessment Estimator'!$N$2,FALSE))</f>
        <v>0</v>
      </c>
      <c r="AK170" s="172">
        <f>IF(VLOOKUP(E170,'Pre-Assessment Estimator'!$E$11:$Z$226,'Pre-Assessment Estimator'!$U$2,FALSE)&gt;AB170,AB170,VLOOKUP(E170,'Pre-Assessment Estimator'!$E$11:$Z$226,'Pre-Assessment Estimator'!$U$2,FALSE))</f>
        <v>0</v>
      </c>
      <c r="AM170" s="835"/>
      <c r="AN170" s="836"/>
      <c r="AO170" s="836"/>
      <c r="AP170" s="836"/>
      <c r="AQ170" s="837"/>
      <c r="AR170" s="139"/>
      <c r="AS170" s="835"/>
      <c r="AT170" s="836"/>
      <c r="AU170" s="836"/>
      <c r="AV170" s="836"/>
      <c r="AW170" s="837"/>
      <c r="AY170" s="708"/>
      <c r="AZ170" s="709"/>
      <c r="BA170" s="709"/>
      <c r="BB170" s="709"/>
      <c r="BC170" s="838"/>
      <c r="BD170" s="182">
        <f t="shared" ref="BD170" si="453">IF(BC170=0,9,IF(AI170&gt;=BC170,5,IF(AI170&gt;=BB170,4,IF(AI170&gt;=BA170,3,IF(AI170&gt;=AZ170,2,IF(AI170&lt;AY170,0,1))))))</f>
        <v>9</v>
      </c>
      <c r="BE170" s="164" t="str">
        <f t="shared" si="444"/>
        <v>N/A</v>
      </c>
      <c r="BF170" s="185"/>
      <c r="BG170" s="182">
        <f t="shared" ref="BG170" si="454">IF(BC170=0,9,IF(AJ170&gt;=BC170,5,IF(AJ170&gt;=BB170,4,IF(AJ170&gt;=BA170,3,IF(AJ170&gt;=AZ170,2,IF(AJ170&lt;AY170,0,1))))))</f>
        <v>9</v>
      </c>
      <c r="BH170" s="164" t="str">
        <f t="shared" si="446"/>
        <v>N/A</v>
      </c>
      <c r="BI170" s="185"/>
      <c r="BJ170" s="182">
        <f t="shared" ref="BJ170" si="455">IF(BC170=0,9,IF(AK170&gt;=BC170,5,IF(AK170&gt;=BB170,4,IF(AK170&gt;=BA170,3,IF(AK170&gt;=AZ170,2,IF(AK170&lt;AY170,0,1))))))</f>
        <v>9</v>
      </c>
      <c r="BK170" s="164" t="str">
        <f t="shared" si="448"/>
        <v>N/A</v>
      </c>
      <c r="BL170" s="830"/>
      <c r="BO170" s="167"/>
      <c r="BP170" s="167"/>
      <c r="BQ170" s="167" t="str">
        <f t="shared" si="342"/>
        <v/>
      </c>
      <c r="BR170" s="167">
        <f t="shared" si="399"/>
        <v>9</v>
      </c>
      <c r="BS170" s="167">
        <f t="shared" si="400"/>
        <v>9</v>
      </c>
      <c r="BT170" s="167">
        <f t="shared" si="401"/>
        <v>9</v>
      </c>
      <c r="BW170" s="164"/>
      <c r="BX170" s="164"/>
      <c r="BY170" s="164"/>
      <c r="BZ170" s="164"/>
      <c r="CA170" s="164"/>
      <c r="CB170" s="164"/>
    </row>
    <row r="171" spans="1:81" x14ac:dyDescent="0.25">
      <c r="A171" s="96">
        <v>163</v>
      </c>
      <c r="B171" s="137" t="str">
        <f>D171</f>
        <v>LE 02</v>
      </c>
      <c r="C171" s="137" t="str">
        <f>B171</f>
        <v>LE 02</v>
      </c>
      <c r="D171" s="834" t="s">
        <v>181</v>
      </c>
      <c r="E171" s="832" t="s">
        <v>469</v>
      </c>
      <c r="F171" s="933">
        <f>SUM(F172:F174)</f>
        <v>2</v>
      </c>
      <c r="G171" s="933">
        <f t="shared" ref="G171:R171" si="456">SUM(G172:G174)</f>
        <v>2</v>
      </c>
      <c r="H171" s="933">
        <f t="shared" si="456"/>
        <v>2</v>
      </c>
      <c r="I171" s="933">
        <f t="shared" si="456"/>
        <v>2</v>
      </c>
      <c r="J171" s="933">
        <f t="shared" si="456"/>
        <v>2</v>
      </c>
      <c r="K171" s="933">
        <f t="shared" si="456"/>
        <v>2</v>
      </c>
      <c r="L171" s="933">
        <f t="shared" si="456"/>
        <v>2</v>
      </c>
      <c r="M171" s="933">
        <f t="shared" si="456"/>
        <v>2</v>
      </c>
      <c r="N171" s="933">
        <f t="shared" si="456"/>
        <v>2</v>
      </c>
      <c r="O171" s="933">
        <f t="shared" si="456"/>
        <v>2</v>
      </c>
      <c r="P171" s="933">
        <f t="shared" si="456"/>
        <v>2</v>
      </c>
      <c r="Q171" s="933">
        <f t="shared" ref="Q171" si="457">SUM(Q172:Q174)</f>
        <v>2</v>
      </c>
      <c r="R171" s="933">
        <f t="shared" si="456"/>
        <v>2</v>
      </c>
      <c r="T171" s="963">
        <f t="shared" si="435"/>
        <v>2</v>
      </c>
      <c r="U171" s="222"/>
      <c r="V171" s="230"/>
      <c r="W171" s="230"/>
      <c r="X171" s="230">
        <f>'Manuell filtrering og justering'!E76</f>
        <v>0</v>
      </c>
      <c r="Y171" s="230"/>
      <c r="Z171" s="958">
        <f t="shared" ref="Z171" si="458">SUM(Z172:Z174)</f>
        <v>2</v>
      </c>
      <c r="AA171" s="963">
        <f t="shared" si="437"/>
        <v>0</v>
      </c>
      <c r="AB171" s="1066">
        <f>SUM(AB172:AB174)</f>
        <v>2</v>
      </c>
      <c r="AD171" s="171">
        <f t="shared" si="438"/>
        <v>1.5789473684210527E-2</v>
      </c>
      <c r="AE171" s="921">
        <f>SUM(AE172:AE174)</f>
        <v>0</v>
      </c>
      <c r="AF171" s="921">
        <f t="shared" ref="AF171" si="459">SUM(AF172:AF174)</f>
        <v>0</v>
      </c>
      <c r="AG171" s="921">
        <f t="shared" ref="AG171" si="460">SUM(AG172:AG174)</f>
        <v>0</v>
      </c>
      <c r="AI171" s="958">
        <f t="shared" ref="AI171" si="461">SUM(AI172:AI174)</f>
        <v>0</v>
      </c>
      <c r="AJ171" s="958">
        <f t="shared" ref="AJ171" si="462">SUM(AJ172:AJ174)</f>
        <v>0</v>
      </c>
      <c r="AK171" s="958">
        <f t="shared" ref="AK171" si="463">SUM(AK172:AK174)</f>
        <v>0</v>
      </c>
      <c r="AM171" s="292"/>
      <c r="AN171" s="293"/>
      <c r="AO171" s="293"/>
      <c r="AP171" s="181"/>
      <c r="AQ171" s="186"/>
      <c r="AR171" s="139"/>
      <c r="AS171" s="291"/>
      <c r="AT171" s="181"/>
      <c r="AU171" s="181"/>
      <c r="AV171" s="181"/>
      <c r="AW171" s="186"/>
      <c r="AY171" s="188"/>
      <c r="AZ171" s="189"/>
      <c r="BA171" s="189"/>
      <c r="BB171" s="189"/>
      <c r="BC171" s="190"/>
      <c r="BD171" s="182">
        <f t="shared" ref="BD171:BD225" si="464">IF(BC171=0,9,IF(AI171&gt;=BC171,5,IF(AI171&gt;=BB171,4,IF(AI171&gt;=BA171,3,IF(AI171&gt;=AZ171,2,IF(AI171&lt;AY171,0,1))))))</f>
        <v>9</v>
      </c>
      <c r="BE171" s="164" t="str">
        <f t="shared" si="444"/>
        <v>N/A</v>
      </c>
      <c r="BF171" s="185"/>
      <c r="BG171" s="182">
        <f t="shared" si="445"/>
        <v>9</v>
      </c>
      <c r="BH171" s="164" t="str">
        <f t="shared" si="446"/>
        <v>N/A</v>
      </c>
      <c r="BI171" s="185"/>
      <c r="BJ171" s="182">
        <f t="shared" si="447"/>
        <v>9</v>
      </c>
      <c r="BK171" s="164" t="str">
        <f t="shared" si="448"/>
        <v>N/A</v>
      </c>
      <c r="BL171" s="185"/>
      <c r="BO171" s="167"/>
      <c r="BP171" s="167"/>
      <c r="BQ171" s="167" t="str">
        <f t="shared" si="342"/>
        <v/>
      </c>
      <c r="BR171" s="167">
        <f t="shared" si="399"/>
        <v>9</v>
      </c>
      <c r="BS171" s="167">
        <f t="shared" si="400"/>
        <v>9</v>
      </c>
      <c r="BT171" s="167">
        <f t="shared" si="401"/>
        <v>9</v>
      </c>
      <c r="BW171" s="167" t="str">
        <f>D171</f>
        <v>LE 02</v>
      </c>
      <c r="BX171" s="167" t="str">
        <f>IFERROR(VLOOKUP($E171,'Pre-Assessment Estimator'!$E$11:$AB$226,'Pre-Assessment Estimator'!AB$2,FALSE),"")</f>
        <v>N/A</v>
      </c>
      <c r="BY171" s="167">
        <f>IFERROR(VLOOKUP($E171,'Pre-Assessment Estimator'!$E$11:$AI$226,'Pre-Assessment Estimator'!AI$2,FALSE),"")</f>
        <v>0</v>
      </c>
      <c r="BZ171" s="167">
        <f>IFERROR(VLOOKUP($BX171,$E$293:$H$326,F$291,FALSE),"")</f>
        <v>1</v>
      </c>
      <c r="CA171" s="167">
        <f>IFERROR(VLOOKUP($BX171,$E$293:$H$326,G$291,FALSE),"")</f>
        <v>0</v>
      </c>
      <c r="CB171" s="167"/>
      <c r="CC171" s="96" t="str">
        <f>IFERROR(VLOOKUP($BX171,$E$293:$H$326,I$291,FALSE),"")</f>
        <v/>
      </c>
    </row>
    <row r="172" spans="1:81" x14ac:dyDescent="0.25">
      <c r="A172" s="96">
        <v>164</v>
      </c>
      <c r="C172" s="96" t="str">
        <f t="shared" si="344"/>
        <v>LE 02</v>
      </c>
      <c r="D172" s="166" t="s">
        <v>693</v>
      </c>
      <c r="E172" s="940" t="s">
        <v>1018</v>
      </c>
      <c r="F172" s="775"/>
      <c r="G172" s="775"/>
      <c r="H172" s="775"/>
      <c r="I172" s="775"/>
      <c r="J172" s="775"/>
      <c r="K172" s="775"/>
      <c r="L172" s="775"/>
      <c r="M172" s="775"/>
      <c r="N172" s="775"/>
      <c r="O172" s="775"/>
      <c r="P172" s="775"/>
      <c r="Q172" s="775"/>
      <c r="R172" s="775"/>
      <c r="T172" s="221">
        <f t="shared" si="435"/>
        <v>0</v>
      </c>
      <c r="U172" s="166"/>
      <c r="V172" s="167"/>
      <c r="W172" s="167"/>
      <c r="X172" s="167"/>
      <c r="Y172" s="168"/>
      <c r="Z172" s="168"/>
      <c r="AA172" s="169">
        <f t="shared" si="437"/>
        <v>0</v>
      </c>
      <c r="AB172" s="170">
        <f>IF($AC$5='Manuell filtrering og justering'!$J$2,Z172,(T172-AA172))</f>
        <v>0</v>
      </c>
      <c r="AD172" s="171">
        <f t="shared" si="438"/>
        <v>0</v>
      </c>
      <c r="AE172" s="171">
        <f t="shared" si="450"/>
        <v>0</v>
      </c>
      <c r="AF172" s="171">
        <f t="shared" si="451"/>
        <v>0</v>
      </c>
      <c r="AG172" s="171">
        <f t="shared" si="452"/>
        <v>0</v>
      </c>
      <c r="AI172" s="172">
        <f>IF(VLOOKUP(E172,'Pre-Assessment Estimator'!$E$11:$Z$226,'Pre-Assessment Estimator'!$G$2,FALSE)&gt;AB172,AB172,VLOOKUP(E172,'Pre-Assessment Estimator'!$E$11:$Z$226,'Pre-Assessment Estimator'!$G$2,FALSE))</f>
        <v>0</v>
      </c>
      <c r="AJ172" s="172">
        <f>IF(VLOOKUP(E172,'Pre-Assessment Estimator'!$E$11:$Z$226,'Pre-Assessment Estimator'!$N$2,FALSE)&gt;AB172,AB172,VLOOKUP(E172,'Pre-Assessment Estimator'!$E$11:$Z$226,'Pre-Assessment Estimator'!$N$2,FALSE))</f>
        <v>0</v>
      </c>
      <c r="AK172" s="172">
        <f>IF(VLOOKUP(E172,'Pre-Assessment Estimator'!$E$11:$Z$226,'Pre-Assessment Estimator'!$U$2,FALSE)&gt;AB172,AB172,VLOOKUP(E172,'Pre-Assessment Estimator'!$E$11:$Z$226,'Pre-Assessment Estimator'!$U$2,FALSE))</f>
        <v>0</v>
      </c>
      <c r="AM172" s="292"/>
      <c r="AN172" s="293"/>
      <c r="AO172" s="293"/>
      <c r="AP172" s="181"/>
      <c r="AQ172" s="186"/>
      <c r="AR172" s="139"/>
      <c r="AS172" s="291"/>
      <c r="AT172" s="181"/>
      <c r="AU172" s="181"/>
      <c r="AV172" s="181"/>
      <c r="AW172" s="186"/>
      <c r="AY172" s="188"/>
      <c r="AZ172" s="189"/>
      <c r="BA172" s="189"/>
      <c r="BB172" s="189"/>
      <c r="BC172" s="190"/>
      <c r="BD172" s="182">
        <f t="shared" si="464"/>
        <v>9</v>
      </c>
      <c r="BE172" s="164" t="str">
        <f t="shared" si="444"/>
        <v>N/A</v>
      </c>
      <c r="BF172" s="185"/>
      <c r="BG172" s="182">
        <f t="shared" si="445"/>
        <v>9</v>
      </c>
      <c r="BH172" s="164" t="str">
        <f t="shared" si="446"/>
        <v>N/A</v>
      </c>
      <c r="BI172" s="185"/>
      <c r="BJ172" s="182">
        <f t="shared" si="447"/>
        <v>9</v>
      </c>
      <c r="BK172" s="164" t="str">
        <f t="shared" si="448"/>
        <v>N/A</v>
      </c>
      <c r="BL172" s="185"/>
      <c r="BO172" s="167"/>
      <c r="BP172" s="167"/>
      <c r="BQ172" s="167" t="str">
        <f t="shared" si="342"/>
        <v/>
      </c>
      <c r="BR172" s="167">
        <f t="shared" si="399"/>
        <v>9</v>
      </c>
      <c r="BS172" s="167">
        <f t="shared" si="400"/>
        <v>9</v>
      </c>
      <c r="BT172" s="167">
        <f t="shared" si="401"/>
        <v>9</v>
      </c>
      <c r="BW172" s="167"/>
      <c r="BX172" s="167"/>
      <c r="BY172" s="167"/>
      <c r="BZ172" s="167"/>
      <c r="CA172" s="167"/>
      <c r="CB172" s="167"/>
    </row>
    <row r="173" spans="1:81" x14ac:dyDescent="0.25">
      <c r="A173" s="96">
        <v>165</v>
      </c>
      <c r="B173" s="96" t="str">
        <f t="shared" ref="B173:B174" si="465">$D$171&amp;D173</f>
        <v>LE 02b</v>
      </c>
      <c r="C173" s="96" t="str">
        <f t="shared" si="344"/>
        <v>LE 02</v>
      </c>
      <c r="D173" s="188" t="s">
        <v>696</v>
      </c>
      <c r="E173" s="1248" t="s">
        <v>1042</v>
      </c>
      <c r="F173" s="775">
        <v>1</v>
      </c>
      <c r="G173" s="775">
        <v>1</v>
      </c>
      <c r="H173" s="775">
        <v>1</v>
      </c>
      <c r="I173" s="775">
        <v>1</v>
      </c>
      <c r="J173" s="775">
        <v>1</v>
      </c>
      <c r="K173" s="775">
        <v>1</v>
      </c>
      <c r="L173" s="775">
        <v>1</v>
      </c>
      <c r="M173" s="775">
        <v>1</v>
      </c>
      <c r="N173" s="775">
        <v>1</v>
      </c>
      <c r="O173" s="775">
        <v>1</v>
      </c>
      <c r="P173" s="775">
        <v>1</v>
      </c>
      <c r="Q173" s="775">
        <v>1</v>
      </c>
      <c r="R173" s="775">
        <v>1</v>
      </c>
      <c r="T173" s="221">
        <f t="shared" si="435"/>
        <v>1</v>
      </c>
      <c r="U173" s="166"/>
      <c r="V173" s="167"/>
      <c r="W173" s="167"/>
      <c r="X173" s="167"/>
      <c r="Y173" s="168"/>
      <c r="Z173" s="168">
        <f>VLOOKUP(B173,'Manuell filtrering og justering'!$A$7:$H$253,'Manuell filtrering og justering'!$H$1,FALSE)</f>
        <v>1</v>
      </c>
      <c r="AA173" s="169">
        <f t="shared" si="437"/>
        <v>0</v>
      </c>
      <c r="AB173" s="170">
        <f>IF($AC$5='Manuell filtrering og justering'!$J$2,Z173,(T173-AA173))</f>
        <v>1</v>
      </c>
      <c r="AD173" s="171">
        <f t="shared" si="438"/>
        <v>7.8947368421052634E-3</v>
      </c>
      <c r="AE173" s="171">
        <f t="shared" si="450"/>
        <v>0</v>
      </c>
      <c r="AF173" s="171">
        <f t="shared" si="451"/>
        <v>0</v>
      </c>
      <c r="AG173" s="171">
        <f t="shared" si="452"/>
        <v>0</v>
      </c>
      <c r="AI173" s="1067">
        <f>IF(AI242=AD_no,0,IF(VLOOKUP(E173,'Pre-Assessment Estimator'!$E$11:$Z$226,'Pre-Assessment Estimator'!$G$2,FALSE)&gt;AB173,AB173,VLOOKUP(E173,'Pre-Assessment Estimator'!$E$11:$Z$226,'Pre-Assessment Estimator'!$G$2,FALSE)))</f>
        <v>0</v>
      </c>
      <c r="AJ173" s="1067">
        <f>IF(AJ242=AD_no,0,IF(VLOOKUP(E173,'Pre-Assessment Estimator'!$E$11:$Z$226,'Pre-Assessment Estimator'!$N$2,FALSE)&gt;AB173,AB173,VLOOKUP(E173,'Pre-Assessment Estimator'!$E$11:$Z$226,'Pre-Assessment Estimator'!$N$2,FALSE)))</f>
        <v>0</v>
      </c>
      <c r="AK173" s="1067">
        <f>IF(AK242=AD_no,0,IF(VLOOKUP(E173,'Pre-Assessment Estimator'!$E$11:$Z$226,'Pre-Assessment Estimator'!$U$2,FALSE)&gt;AB173,AB173,VLOOKUP(E173,'Pre-Assessment Estimator'!$E$11:$Z$226,'Pre-Assessment Estimator'!$U$2,FALSE)))</f>
        <v>0</v>
      </c>
      <c r="AM173" s="292"/>
      <c r="AN173" s="293"/>
      <c r="AO173" s="293">
        <v>1</v>
      </c>
      <c r="AP173" s="181">
        <v>1</v>
      </c>
      <c r="AQ173" s="186">
        <v>1</v>
      </c>
      <c r="AR173" s="139"/>
      <c r="AS173" s="291"/>
      <c r="AT173" s="181"/>
      <c r="AU173" s="181">
        <v>1</v>
      </c>
      <c r="AV173" s="181">
        <v>1</v>
      </c>
      <c r="AW173" s="186">
        <v>1</v>
      </c>
      <c r="AY173" s="188"/>
      <c r="AZ173" s="189"/>
      <c r="BA173" s="183">
        <f>IF($AB173=0,0,IF($E$6=$H$9,AU173,AO173))</f>
        <v>1</v>
      </c>
      <c r="BB173" s="183">
        <f>IF($AB173=0,0,IF($E$6=$H$9,AV173,AP173))</f>
        <v>1</v>
      </c>
      <c r="BC173" s="183">
        <f>IF($AB173=0,0,IF($E$6=$H$9,AW173,AQ173))</f>
        <v>1</v>
      </c>
      <c r="BD173" s="182">
        <f t="shared" ref="BD173:BD191" si="466">IF(BC173=0,9,IF(AI173&gt;=BC173,5,IF(AI173&gt;=BB173,4,IF(AI173&gt;=BA173,3,IF(AI173&gt;=AZ173,2,IF(AI173&lt;AY173,0,1))))))</f>
        <v>2</v>
      </c>
      <c r="BE173" s="164" t="str">
        <f t="shared" si="444"/>
        <v>Good</v>
      </c>
      <c r="BF173" s="185"/>
      <c r="BG173" s="182">
        <f t="shared" ref="BG173:BG191" si="467">IF(BC173=0,9,IF(AJ173&gt;=BC173,5,IF(AJ173&gt;=BB173,4,IF(AJ173&gt;=BA173,3,IF(AJ173&gt;=AZ173,2,IF(AJ173&lt;AY173,0,1))))))</f>
        <v>2</v>
      </c>
      <c r="BH173" s="164" t="str">
        <f t="shared" si="446"/>
        <v>Good</v>
      </c>
      <c r="BI173" s="185"/>
      <c r="BJ173" s="182">
        <f t="shared" ref="BJ173:BJ191" si="468">IF(BC173=0,9,IF(AK173&gt;=BC173,5,IF(AK173&gt;=BB173,4,IF(AK173&gt;=BA173,3,IF(AK173&gt;=AZ173,2,IF(AK173&lt;AY173,0,1))))))</f>
        <v>2</v>
      </c>
      <c r="BK173" s="164" t="str">
        <f t="shared" si="448"/>
        <v>Good</v>
      </c>
      <c r="BL173" s="185"/>
      <c r="BO173" s="167"/>
      <c r="BP173" s="167">
        <v>1</v>
      </c>
      <c r="BQ173" s="167">
        <f t="shared" si="342"/>
        <v>1</v>
      </c>
      <c r="BR173" s="167">
        <f t="shared" si="399"/>
        <v>0</v>
      </c>
      <c r="BS173" s="167">
        <f t="shared" si="400"/>
        <v>0</v>
      </c>
      <c r="BT173" s="167">
        <f t="shared" si="401"/>
        <v>0</v>
      </c>
      <c r="BW173" s="167"/>
      <c r="BX173" s="167"/>
      <c r="BY173" s="167"/>
      <c r="BZ173" s="167"/>
      <c r="CA173" s="167"/>
      <c r="CB173" s="167"/>
    </row>
    <row r="174" spans="1:81" x14ac:dyDescent="0.25">
      <c r="A174" s="96">
        <v>166</v>
      </c>
      <c r="B174" s="96" t="str">
        <f t="shared" si="465"/>
        <v>LE 02c</v>
      </c>
      <c r="C174" s="96" t="str">
        <f t="shared" si="344"/>
        <v>LE 02</v>
      </c>
      <c r="D174" s="188" t="s">
        <v>697</v>
      </c>
      <c r="E174" s="1107" t="s">
        <v>674</v>
      </c>
      <c r="F174" s="775">
        <v>1</v>
      </c>
      <c r="G174" s="775">
        <v>1</v>
      </c>
      <c r="H174" s="775">
        <v>1</v>
      </c>
      <c r="I174" s="775">
        <v>1</v>
      </c>
      <c r="J174" s="775">
        <v>1</v>
      </c>
      <c r="K174" s="775">
        <v>1</v>
      </c>
      <c r="L174" s="775">
        <v>1</v>
      </c>
      <c r="M174" s="775">
        <v>1</v>
      </c>
      <c r="N174" s="775">
        <v>1</v>
      </c>
      <c r="O174" s="775">
        <v>1</v>
      </c>
      <c r="P174" s="775">
        <v>1</v>
      </c>
      <c r="Q174" s="775">
        <v>1</v>
      </c>
      <c r="R174" s="775">
        <v>1</v>
      </c>
      <c r="T174" s="221">
        <f t="shared" si="435"/>
        <v>1</v>
      </c>
      <c r="U174" s="166"/>
      <c r="V174" s="167"/>
      <c r="W174" s="167"/>
      <c r="X174" s="167"/>
      <c r="Y174" s="168"/>
      <c r="Z174" s="168">
        <f>VLOOKUP(B174,'Manuell filtrering og justering'!$A$7:$H$253,'Manuell filtrering og justering'!$H$1,FALSE)</f>
        <v>1</v>
      </c>
      <c r="AA174" s="169">
        <f t="shared" si="437"/>
        <v>0</v>
      </c>
      <c r="AB174" s="170">
        <f>IF($AC$5='Manuell filtrering og justering'!$J$2,Z174,(T174-AA174))</f>
        <v>1</v>
      </c>
      <c r="AD174" s="171">
        <f t="shared" si="438"/>
        <v>7.8947368421052634E-3</v>
      </c>
      <c r="AE174" s="171">
        <f t="shared" si="450"/>
        <v>0</v>
      </c>
      <c r="AF174" s="171">
        <f t="shared" si="451"/>
        <v>0</v>
      </c>
      <c r="AG174" s="171">
        <f t="shared" si="452"/>
        <v>0</v>
      </c>
      <c r="AI174" s="1067">
        <f>IF(AI242=AD_no,0,IF(VLOOKUP(E174,'Pre-Assessment Estimator'!$E$11:$Z$226,'Pre-Assessment Estimator'!$G$2,FALSE)&gt;AB174,AB174,VLOOKUP(E174,'Pre-Assessment Estimator'!$E$11:$Z$226,'Pre-Assessment Estimator'!$G$2,FALSE)))</f>
        <v>0</v>
      </c>
      <c r="AJ174" s="1067">
        <f>IF(AJ242=AD_no,0,IF(VLOOKUP(E174,'Pre-Assessment Estimator'!$E$11:$Z$226,'Pre-Assessment Estimator'!$N$2,FALSE)&gt;AB174,AB174,VLOOKUP(E174,'Pre-Assessment Estimator'!$E$11:$Z$226,'Pre-Assessment Estimator'!$N$2,FALSE)))</f>
        <v>0</v>
      </c>
      <c r="AK174" s="1067">
        <f>IF(AK242=AD_no,0,IF(VLOOKUP(E174,'Pre-Assessment Estimator'!$E$11:$Z$226,'Pre-Assessment Estimator'!$U$2,FALSE)&gt;AB174,AB174,VLOOKUP(E174,'Pre-Assessment Estimator'!$E$11:$Z$226,'Pre-Assessment Estimator'!$U$2,FALSE)))</f>
        <v>0</v>
      </c>
      <c r="AM174" s="292"/>
      <c r="AN174" s="293"/>
      <c r="AO174" s="293"/>
      <c r="AP174" s="181"/>
      <c r="AQ174" s="186"/>
      <c r="AR174" s="139"/>
      <c r="AS174" s="291"/>
      <c r="AT174" s="181"/>
      <c r="AU174" s="181"/>
      <c r="AV174" s="181"/>
      <c r="AW174" s="186"/>
      <c r="AY174" s="188"/>
      <c r="AZ174" s="189"/>
      <c r="BA174" s="189"/>
      <c r="BB174" s="189"/>
      <c r="BC174" s="190"/>
      <c r="BD174" s="182">
        <f t="shared" si="466"/>
        <v>9</v>
      </c>
      <c r="BE174" s="164" t="str">
        <f t="shared" si="444"/>
        <v>N/A</v>
      </c>
      <c r="BF174" s="185"/>
      <c r="BG174" s="182">
        <f t="shared" si="467"/>
        <v>9</v>
      </c>
      <c r="BH174" s="164" t="str">
        <f t="shared" si="446"/>
        <v>N/A</v>
      </c>
      <c r="BI174" s="185"/>
      <c r="BJ174" s="182">
        <f t="shared" si="468"/>
        <v>9</v>
      </c>
      <c r="BK174" s="164" t="str">
        <f t="shared" si="448"/>
        <v>N/A</v>
      </c>
      <c r="BL174" s="185"/>
      <c r="BO174" s="167"/>
      <c r="BP174" s="167"/>
      <c r="BQ174" s="167"/>
      <c r="BR174" s="167">
        <f t="shared" si="399"/>
        <v>9</v>
      </c>
      <c r="BS174" s="167">
        <f t="shared" si="400"/>
        <v>9</v>
      </c>
      <c r="BT174" s="167">
        <f t="shared" si="401"/>
        <v>9</v>
      </c>
      <c r="BW174" s="167"/>
      <c r="BX174" s="167"/>
      <c r="BY174" s="167"/>
      <c r="BZ174" s="167"/>
      <c r="CA174" s="167"/>
      <c r="CB174" s="167"/>
    </row>
    <row r="175" spans="1:81" x14ac:dyDescent="0.25">
      <c r="A175" s="96">
        <v>167</v>
      </c>
      <c r="B175" s="137" t="str">
        <f>D175</f>
        <v>LE 03</v>
      </c>
      <c r="C175" s="137" t="str">
        <f>B175</f>
        <v>LE 03</v>
      </c>
      <c r="D175" s="946" t="s">
        <v>480</v>
      </c>
      <c r="E175" s="832" t="s">
        <v>470</v>
      </c>
      <c r="F175" s="933">
        <f>SUM(F176:F178)</f>
        <v>3</v>
      </c>
      <c r="G175" s="933">
        <f t="shared" ref="G175:R175" si="469">SUM(G176:G178)</f>
        <v>3</v>
      </c>
      <c r="H175" s="933">
        <f t="shared" si="469"/>
        <v>3</v>
      </c>
      <c r="I175" s="933">
        <f t="shared" si="469"/>
        <v>3</v>
      </c>
      <c r="J175" s="933">
        <f t="shared" si="469"/>
        <v>3</v>
      </c>
      <c r="K175" s="933">
        <f t="shared" si="469"/>
        <v>3</v>
      </c>
      <c r="L175" s="933">
        <f t="shared" si="469"/>
        <v>3</v>
      </c>
      <c r="M175" s="933">
        <f t="shared" si="469"/>
        <v>3</v>
      </c>
      <c r="N175" s="933">
        <f t="shared" si="469"/>
        <v>3</v>
      </c>
      <c r="O175" s="933">
        <f t="shared" si="469"/>
        <v>3</v>
      </c>
      <c r="P175" s="933">
        <f t="shared" si="469"/>
        <v>3</v>
      </c>
      <c r="Q175" s="933">
        <f t="shared" ref="Q175" si="470">SUM(Q176:Q178)</f>
        <v>3</v>
      </c>
      <c r="R175" s="933">
        <f t="shared" si="469"/>
        <v>3</v>
      </c>
      <c r="T175" s="963">
        <f t="shared" si="435"/>
        <v>3</v>
      </c>
      <c r="U175" s="222"/>
      <c r="V175" s="230"/>
      <c r="W175" s="230"/>
      <c r="X175" s="230">
        <f>'Manuell filtrering og justering'!E77</f>
        <v>0</v>
      </c>
      <c r="Y175" s="230"/>
      <c r="Z175" s="958">
        <f t="shared" ref="Z175" si="471">SUM(Z176:Z178)</f>
        <v>0</v>
      </c>
      <c r="AA175" s="963">
        <f t="shared" si="437"/>
        <v>0</v>
      </c>
      <c r="AB175" s="1066">
        <f>SUM(AB176:AB178)</f>
        <v>3</v>
      </c>
      <c r="AD175" s="171">
        <f t="shared" si="438"/>
        <v>2.368421052631579E-2</v>
      </c>
      <c r="AE175" s="921">
        <f>SUM(AE176:AE178)</f>
        <v>0</v>
      </c>
      <c r="AF175" s="921">
        <f t="shared" ref="AF175" si="472">SUM(AF176:AF178)</f>
        <v>0</v>
      </c>
      <c r="AG175" s="921">
        <f t="shared" ref="AG175" si="473">SUM(AG176:AG178)</f>
        <v>0</v>
      </c>
      <c r="AI175" s="958">
        <f t="shared" ref="AI175" si="474">SUM(AI176:AI178)</f>
        <v>0</v>
      </c>
      <c r="AJ175" s="958">
        <f t="shared" ref="AJ175" si="475">SUM(AJ176:AJ178)</f>
        <v>0</v>
      </c>
      <c r="AK175" s="958">
        <f t="shared" ref="AK175" si="476">SUM(AK176:AK178)</f>
        <v>0</v>
      </c>
      <c r="AM175" s="292"/>
      <c r="AN175" s="293"/>
      <c r="AO175" s="293"/>
      <c r="AP175" s="181"/>
      <c r="AQ175" s="186"/>
      <c r="AR175" s="139"/>
      <c r="AS175" s="291"/>
      <c r="AT175" s="181"/>
      <c r="AU175" s="181"/>
      <c r="AV175" s="181"/>
      <c r="AW175" s="186"/>
      <c r="AY175" s="188"/>
      <c r="AZ175" s="189"/>
      <c r="BA175" s="189"/>
      <c r="BB175" s="189"/>
      <c r="BC175" s="190"/>
      <c r="BD175" s="182">
        <f t="shared" si="466"/>
        <v>9</v>
      </c>
      <c r="BE175" s="164" t="str">
        <f t="shared" si="444"/>
        <v>N/A</v>
      </c>
      <c r="BF175" s="185"/>
      <c r="BG175" s="182">
        <f t="shared" si="467"/>
        <v>9</v>
      </c>
      <c r="BH175" s="164" t="str">
        <f t="shared" si="446"/>
        <v>N/A</v>
      </c>
      <c r="BI175" s="185"/>
      <c r="BJ175" s="182">
        <f t="shared" si="468"/>
        <v>9</v>
      </c>
      <c r="BK175" s="164" t="str">
        <f t="shared" si="448"/>
        <v>N/A</v>
      </c>
      <c r="BL175" s="185"/>
      <c r="BO175" s="167"/>
      <c r="BP175" s="167"/>
      <c r="BQ175" s="167" t="str">
        <f t="shared" si="342"/>
        <v/>
      </c>
      <c r="BR175" s="167">
        <f t="shared" si="399"/>
        <v>9</v>
      </c>
      <c r="BS175" s="167">
        <f t="shared" si="400"/>
        <v>9</v>
      </c>
      <c r="BT175" s="167">
        <f t="shared" si="401"/>
        <v>9</v>
      </c>
      <c r="BW175" s="167" t="str">
        <f>D175</f>
        <v>LE 03</v>
      </c>
      <c r="BX175" s="167"/>
      <c r="BY175" s="167"/>
      <c r="BZ175" s="167"/>
      <c r="CA175" s="167"/>
      <c r="CB175" s="167"/>
    </row>
    <row r="176" spans="1:81" x14ac:dyDescent="0.25">
      <c r="A176" s="96">
        <v>168</v>
      </c>
      <c r="C176" s="96" t="str">
        <f t="shared" si="344"/>
        <v>LE 03</v>
      </c>
      <c r="D176" s="188" t="s">
        <v>693</v>
      </c>
      <c r="E176" s="940" t="s">
        <v>675</v>
      </c>
      <c r="F176" s="775"/>
      <c r="G176" s="775"/>
      <c r="H176" s="775"/>
      <c r="I176" s="775"/>
      <c r="J176" s="775"/>
      <c r="K176" s="775"/>
      <c r="L176" s="775"/>
      <c r="M176" s="775"/>
      <c r="N176" s="775"/>
      <c r="O176" s="775"/>
      <c r="P176" s="775"/>
      <c r="Q176" s="775"/>
      <c r="R176" s="775"/>
      <c r="T176" s="221">
        <f t="shared" si="435"/>
        <v>0</v>
      </c>
      <c r="U176" s="166"/>
      <c r="V176" s="167"/>
      <c r="W176" s="167"/>
      <c r="X176" s="167"/>
      <c r="Y176" s="168"/>
      <c r="Z176" s="168"/>
      <c r="AA176" s="169">
        <f t="shared" si="437"/>
        <v>0</v>
      </c>
      <c r="AB176" s="170">
        <f>IF($AC$5='Manuell filtrering og justering'!$J$2,Z176,(T176-AA176))</f>
        <v>0</v>
      </c>
      <c r="AD176" s="171">
        <f t="shared" si="438"/>
        <v>0</v>
      </c>
      <c r="AE176" s="171">
        <f t="shared" si="450"/>
        <v>0</v>
      </c>
      <c r="AF176" s="171">
        <f t="shared" si="451"/>
        <v>0</v>
      </c>
      <c r="AG176" s="171">
        <f t="shared" si="452"/>
        <v>0</v>
      </c>
      <c r="AI176" s="172"/>
      <c r="AJ176" s="172"/>
      <c r="AK176" s="172"/>
      <c r="AM176" s="292"/>
      <c r="AN176" s="293"/>
      <c r="AO176" s="293"/>
      <c r="AP176" s="181"/>
      <c r="AQ176" s="186"/>
      <c r="AR176" s="139"/>
      <c r="AS176" s="291"/>
      <c r="AT176" s="181"/>
      <c r="AU176" s="181"/>
      <c r="AV176" s="181"/>
      <c r="AW176" s="186"/>
      <c r="AY176" s="188"/>
      <c r="AZ176" s="189"/>
      <c r="BA176" s="189"/>
      <c r="BB176" s="189"/>
      <c r="BC176" s="190"/>
      <c r="BD176" s="182">
        <f t="shared" si="466"/>
        <v>9</v>
      </c>
      <c r="BE176" s="164" t="str">
        <f t="shared" si="444"/>
        <v>N/A</v>
      </c>
      <c r="BF176" s="185"/>
      <c r="BG176" s="182">
        <f t="shared" si="467"/>
        <v>9</v>
      </c>
      <c r="BH176" s="164" t="str">
        <f t="shared" si="446"/>
        <v>N/A</v>
      </c>
      <c r="BI176" s="185"/>
      <c r="BJ176" s="182">
        <f t="shared" si="468"/>
        <v>9</v>
      </c>
      <c r="BK176" s="164" t="str">
        <f t="shared" si="448"/>
        <v>N/A</v>
      </c>
      <c r="BL176" s="185"/>
      <c r="BO176" s="167"/>
      <c r="BP176" s="167"/>
      <c r="BQ176" s="167" t="str">
        <f t="shared" si="342"/>
        <v/>
      </c>
      <c r="BR176" s="167">
        <f t="shared" si="399"/>
        <v>9</v>
      </c>
      <c r="BS176" s="167">
        <f t="shared" si="400"/>
        <v>9</v>
      </c>
      <c r="BT176" s="167">
        <f t="shared" si="401"/>
        <v>9</v>
      </c>
      <c r="BW176" s="167"/>
      <c r="BX176" s="167"/>
      <c r="BY176" s="167"/>
      <c r="BZ176" s="167"/>
      <c r="CA176" s="167"/>
      <c r="CB176" s="167"/>
    </row>
    <row r="177" spans="1:81" x14ac:dyDescent="0.25">
      <c r="A177" s="96">
        <v>169</v>
      </c>
      <c r="B177" s="96" t="str">
        <f t="shared" ref="B177:B178" si="477">$D$175&amp;D177</f>
        <v>LE 03b</v>
      </c>
      <c r="C177" s="96" t="str">
        <f t="shared" si="344"/>
        <v>LE 03</v>
      </c>
      <c r="D177" s="188" t="s">
        <v>696</v>
      </c>
      <c r="E177" s="1248" t="s">
        <v>676</v>
      </c>
      <c r="F177" s="775">
        <v>1</v>
      </c>
      <c r="G177" s="775">
        <v>1</v>
      </c>
      <c r="H177" s="775">
        <v>1</v>
      </c>
      <c r="I177" s="775">
        <v>1</v>
      </c>
      <c r="J177" s="775">
        <v>1</v>
      </c>
      <c r="K177" s="775">
        <v>1</v>
      </c>
      <c r="L177" s="775">
        <v>1</v>
      </c>
      <c r="M177" s="775">
        <v>1</v>
      </c>
      <c r="N177" s="775">
        <v>1</v>
      </c>
      <c r="O177" s="775">
        <v>1</v>
      </c>
      <c r="P177" s="775">
        <v>1</v>
      </c>
      <c r="Q177" s="775">
        <v>1</v>
      </c>
      <c r="R177" s="775">
        <v>1</v>
      </c>
      <c r="T177" s="221">
        <f t="shared" si="435"/>
        <v>1</v>
      </c>
      <c r="U177" s="166"/>
      <c r="V177" s="167"/>
      <c r="W177" s="167"/>
      <c r="X177" s="167"/>
      <c r="Y177" s="168"/>
      <c r="Z177" s="168">
        <f>VLOOKUP(B177,'Manuell filtrering og justering'!$A$7:$H$253,'Manuell filtrering og justering'!$H$1,FALSE)</f>
        <v>0</v>
      </c>
      <c r="AA177" s="169">
        <f t="shared" si="437"/>
        <v>0</v>
      </c>
      <c r="AB177" s="170">
        <f>IF($AC$5='Manuell filtrering og justering'!$J$2,Z177,(T177-AA177))</f>
        <v>1</v>
      </c>
      <c r="AD177" s="171">
        <f t="shared" si="438"/>
        <v>7.8947368421052634E-3</v>
      </c>
      <c r="AE177" s="171">
        <f t="shared" si="450"/>
        <v>0</v>
      </c>
      <c r="AF177" s="171">
        <f t="shared" si="451"/>
        <v>0</v>
      </c>
      <c r="AG177" s="171">
        <f t="shared" si="452"/>
        <v>0</v>
      </c>
      <c r="AI177" s="1067">
        <f>IF(AI243=AD_no,0,IF(VLOOKUP(E177,'Pre-Assessment Estimator'!$E$11:$Z$226,'Pre-Assessment Estimator'!$G$2,FALSE)&gt;AB177,AB177,VLOOKUP(E177,'Pre-Assessment Estimator'!$E$11:$Z$226,'Pre-Assessment Estimator'!$G$2,FALSE)))</f>
        <v>0</v>
      </c>
      <c r="AJ177" s="1067">
        <f>IF(AJ243=AD_no,0,IF(VLOOKUP(E177,'Pre-Assessment Estimator'!$E$11:$Z$226,'Pre-Assessment Estimator'!$N$2,FALSE)&gt;AB177,AB177,VLOOKUP(E177,'Pre-Assessment Estimator'!$E$11:$Z$226,'Pre-Assessment Estimator'!$N$2,FALSE)))</f>
        <v>0</v>
      </c>
      <c r="AK177" s="1067">
        <f>IF(AK243=AD_no,0,IF(VLOOKUP(E177,'Pre-Assessment Estimator'!$E$11:$Z$226,'Pre-Assessment Estimator'!$U$2,FALSE)&gt;AB177,AB177,VLOOKUP(E177,'Pre-Assessment Estimator'!$E$11:$Z$226,'Pre-Assessment Estimator'!$U$2,FALSE)))</f>
        <v>0</v>
      </c>
      <c r="AM177" s="292"/>
      <c r="AN177" s="293"/>
      <c r="AO177" s="293"/>
      <c r="AP177" s="181"/>
      <c r="AQ177" s="186"/>
      <c r="AR177" s="139"/>
      <c r="AS177" s="291"/>
      <c r="AT177" s="181"/>
      <c r="AU177" s="181"/>
      <c r="AV177" s="181"/>
      <c r="AW177" s="186"/>
      <c r="AY177" s="183"/>
      <c r="AZ177" s="183"/>
      <c r="BA177" s="183"/>
      <c r="BB177" s="183"/>
      <c r="BC177" s="183"/>
      <c r="BD177" s="182">
        <f t="shared" ref="BD177:BD178" si="478">IF(BC177=0,9,IF(AI177&gt;=BC177,5,IF(AI177&gt;=BB177,4,IF(AI177&gt;=BA177,3,IF(AI177&gt;=AZ177,2,IF(AI177&lt;AY177,0,1))))))</f>
        <v>9</v>
      </c>
      <c r="BE177" s="164" t="str">
        <f t="shared" si="444"/>
        <v>N/A</v>
      </c>
      <c r="BF177" s="185"/>
      <c r="BG177" s="182">
        <f t="shared" ref="BG177:BG178" si="479">IF(BC177=0,9,IF(AJ177&gt;=BC177,5,IF(AJ177&gt;=BB177,4,IF(AJ177&gt;=BA177,3,IF(AJ177&gt;=AZ177,2,IF(AJ177&lt;AY177,0,1))))))</f>
        <v>9</v>
      </c>
      <c r="BH177" s="164" t="str">
        <f t="shared" si="446"/>
        <v>N/A</v>
      </c>
      <c r="BI177" s="185"/>
      <c r="BJ177" s="182">
        <f t="shared" ref="BJ177:BJ178" si="480">IF(BC177=0,9,IF(AK177&gt;=BC177,5,IF(AK177&gt;=BB177,4,IF(AK177&gt;=BA177,3,IF(AK177&gt;=AZ177,2,IF(AK177&lt;AY177,0,1))))))</f>
        <v>9</v>
      </c>
      <c r="BK177" s="164" t="str">
        <f t="shared" si="448"/>
        <v>N/A</v>
      </c>
      <c r="BL177" s="185"/>
      <c r="BO177" s="167"/>
      <c r="BP177" s="167"/>
      <c r="BQ177" s="167" t="str">
        <f t="shared" si="342"/>
        <v/>
      </c>
      <c r="BR177" s="167">
        <f t="shared" si="399"/>
        <v>9</v>
      </c>
      <c r="BS177" s="167">
        <f t="shared" si="400"/>
        <v>9</v>
      </c>
      <c r="BT177" s="167">
        <f t="shared" si="401"/>
        <v>9</v>
      </c>
      <c r="BW177" s="167"/>
      <c r="BX177" s="167"/>
      <c r="BY177" s="167"/>
      <c r="BZ177" s="167"/>
      <c r="CA177" s="167"/>
      <c r="CB177" s="167"/>
    </row>
    <row r="178" spans="1:81" x14ac:dyDescent="0.25">
      <c r="A178" s="96">
        <v>170</v>
      </c>
      <c r="B178" s="96" t="str">
        <f t="shared" si="477"/>
        <v>LE 03c</v>
      </c>
      <c r="C178" s="96" t="str">
        <f t="shared" si="344"/>
        <v>LE 03</v>
      </c>
      <c r="D178" s="188" t="s">
        <v>697</v>
      </c>
      <c r="E178" s="1248" t="s">
        <v>677</v>
      </c>
      <c r="F178" s="775">
        <v>2</v>
      </c>
      <c r="G178" s="775">
        <v>2</v>
      </c>
      <c r="H178" s="775">
        <v>2</v>
      </c>
      <c r="I178" s="775">
        <v>2</v>
      </c>
      <c r="J178" s="775">
        <v>2</v>
      </c>
      <c r="K178" s="775">
        <v>2</v>
      </c>
      <c r="L178" s="775">
        <v>2</v>
      </c>
      <c r="M178" s="775">
        <v>2</v>
      </c>
      <c r="N178" s="775">
        <v>2</v>
      </c>
      <c r="O178" s="775">
        <v>2</v>
      </c>
      <c r="P178" s="775">
        <v>2</v>
      </c>
      <c r="Q178" s="775">
        <v>2</v>
      </c>
      <c r="R178" s="775">
        <v>2</v>
      </c>
      <c r="T178" s="221">
        <f t="shared" si="435"/>
        <v>2</v>
      </c>
      <c r="U178" s="166"/>
      <c r="V178" s="167"/>
      <c r="W178" s="167"/>
      <c r="X178" s="167"/>
      <c r="Y178" s="168"/>
      <c r="Z178" s="168">
        <f>VLOOKUP(B178,'Manuell filtrering og justering'!$A$7:$H$253,'Manuell filtrering og justering'!$H$1,FALSE)</f>
        <v>0</v>
      </c>
      <c r="AA178" s="169">
        <f t="shared" si="437"/>
        <v>0</v>
      </c>
      <c r="AB178" s="170">
        <f>IF($AC$5='Manuell filtrering og justering'!$J$2,Z178,(T178-AA178))</f>
        <v>2</v>
      </c>
      <c r="AD178" s="171">
        <f t="shared" si="438"/>
        <v>1.5789473684210527E-2</v>
      </c>
      <c r="AE178" s="171">
        <f t="shared" si="450"/>
        <v>0</v>
      </c>
      <c r="AF178" s="171">
        <f t="shared" si="451"/>
        <v>0</v>
      </c>
      <c r="AG178" s="171">
        <f t="shared" si="452"/>
        <v>0</v>
      </c>
      <c r="AI178" s="1067">
        <f>IF(AI243=AD_no,0,IF(VLOOKUP(E178,'Pre-Assessment Estimator'!$E$11:$Z$226,'Pre-Assessment Estimator'!$G$2,FALSE)&gt;AB178,AB178,VLOOKUP(E178,'Pre-Assessment Estimator'!$E$11:$Z$226,'Pre-Assessment Estimator'!$G$2,FALSE)))</f>
        <v>0</v>
      </c>
      <c r="AJ178" s="1067">
        <f>IF(AJ243=AD_no,0,IF(VLOOKUP(E178,'Pre-Assessment Estimator'!$E$11:$Z$226,'Pre-Assessment Estimator'!$N$2,FALSE)&gt;AB178,AB178,VLOOKUP(E178,'Pre-Assessment Estimator'!$E$11:$Z$226,'Pre-Assessment Estimator'!$N$2,FALSE)))</f>
        <v>0</v>
      </c>
      <c r="AK178" s="1067">
        <f>IF(AK243=AD_no,0,IF(VLOOKUP(E178,'Pre-Assessment Estimator'!$E$11:$Z$226,'Pre-Assessment Estimator'!$U$2,FALSE)&gt;AB178,AB178,VLOOKUP(E178,'Pre-Assessment Estimator'!$E$11:$Z$226,'Pre-Assessment Estimator'!$U$2,FALSE)))</f>
        <v>0</v>
      </c>
      <c r="AM178" s="292"/>
      <c r="AN178" s="293"/>
      <c r="AO178" s="293"/>
      <c r="AP178" s="181"/>
      <c r="AQ178" s="186"/>
      <c r="AR178" s="139"/>
      <c r="AS178" s="291"/>
      <c r="AT178" s="181"/>
      <c r="AU178" s="181"/>
      <c r="AV178" s="181"/>
      <c r="AW178" s="186"/>
      <c r="AY178" s="188"/>
      <c r="AZ178" s="189"/>
      <c r="BA178" s="189"/>
      <c r="BB178" s="189"/>
      <c r="BC178" s="190"/>
      <c r="BD178" s="182">
        <f t="shared" si="478"/>
        <v>9</v>
      </c>
      <c r="BE178" s="164" t="str">
        <f t="shared" si="444"/>
        <v>N/A</v>
      </c>
      <c r="BF178" s="185"/>
      <c r="BG178" s="182">
        <f t="shared" si="479"/>
        <v>9</v>
      </c>
      <c r="BH178" s="164" t="str">
        <f t="shared" si="446"/>
        <v>N/A</v>
      </c>
      <c r="BI178" s="185"/>
      <c r="BJ178" s="182">
        <f t="shared" si="480"/>
        <v>9</v>
      </c>
      <c r="BK178" s="164" t="str">
        <f t="shared" si="448"/>
        <v>N/A</v>
      </c>
      <c r="BL178" s="185"/>
      <c r="BO178" s="167"/>
      <c r="BP178" s="167"/>
      <c r="BQ178" s="167" t="str">
        <f t="shared" si="342"/>
        <v/>
      </c>
      <c r="BR178" s="167">
        <f t="shared" si="399"/>
        <v>9</v>
      </c>
      <c r="BS178" s="167">
        <f t="shared" si="400"/>
        <v>9</v>
      </c>
      <c r="BT178" s="167">
        <f t="shared" si="401"/>
        <v>9</v>
      </c>
      <c r="BW178" s="167"/>
      <c r="BX178" s="167"/>
      <c r="BY178" s="167"/>
      <c r="BZ178" s="167"/>
      <c r="CA178" s="167"/>
      <c r="CB178" s="167"/>
    </row>
    <row r="179" spans="1:81" x14ac:dyDescent="0.25">
      <c r="A179" s="96">
        <v>171</v>
      </c>
      <c r="B179" s="137" t="str">
        <f>D179</f>
        <v>LE 04</v>
      </c>
      <c r="C179" s="137" t="str">
        <f>B179</f>
        <v>LE 04</v>
      </c>
      <c r="D179" s="946" t="s">
        <v>182</v>
      </c>
      <c r="E179" s="832" t="s">
        <v>471</v>
      </c>
      <c r="F179" s="933">
        <f>SUM(F180:F182)</f>
        <v>4</v>
      </c>
      <c r="G179" s="933">
        <f t="shared" ref="G179:R179" si="481">SUM(G180:G182)</f>
        <v>4</v>
      </c>
      <c r="H179" s="933">
        <f t="shared" si="481"/>
        <v>4</v>
      </c>
      <c r="I179" s="933">
        <f t="shared" si="481"/>
        <v>4</v>
      </c>
      <c r="J179" s="933">
        <f t="shared" si="481"/>
        <v>4</v>
      </c>
      <c r="K179" s="933">
        <f t="shared" si="481"/>
        <v>4</v>
      </c>
      <c r="L179" s="933">
        <f t="shared" si="481"/>
        <v>4</v>
      </c>
      <c r="M179" s="933">
        <f t="shared" si="481"/>
        <v>4</v>
      </c>
      <c r="N179" s="933">
        <f t="shared" si="481"/>
        <v>4</v>
      </c>
      <c r="O179" s="933">
        <f t="shared" si="481"/>
        <v>4</v>
      </c>
      <c r="P179" s="933">
        <f t="shared" si="481"/>
        <v>4</v>
      </c>
      <c r="Q179" s="933">
        <f t="shared" ref="Q179" si="482">SUM(Q180:Q182)</f>
        <v>4</v>
      </c>
      <c r="R179" s="933">
        <f t="shared" si="481"/>
        <v>4</v>
      </c>
      <c r="T179" s="963">
        <f t="shared" si="435"/>
        <v>4</v>
      </c>
      <c r="U179" s="222"/>
      <c r="V179" s="230"/>
      <c r="W179" s="230"/>
      <c r="X179" s="230">
        <f>'Manuell filtrering og justering'!E78</f>
        <v>0</v>
      </c>
      <c r="Y179" s="230"/>
      <c r="Z179" s="958">
        <f t="shared" ref="Z179" si="483">SUM(Z180:Z182)</f>
        <v>4</v>
      </c>
      <c r="AA179" s="963">
        <f t="shared" si="437"/>
        <v>0</v>
      </c>
      <c r="AB179" s="1066">
        <f>SUM(AB180:AB182)</f>
        <v>4</v>
      </c>
      <c r="AD179" s="171">
        <f t="shared" si="438"/>
        <v>3.1578947368421054E-2</v>
      </c>
      <c r="AE179" s="921">
        <f>SUM(AE180:AE182)</f>
        <v>0</v>
      </c>
      <c r="AF179" s="921">
        <f t="shared" ref="AF179" si="484">SUM(AF180:AF182)</f>
        <v>0</v>
      </c>
      <c r="AG179" s="921">
        <f t="shared" ref="AG179" si="485">SUM(AG180:AG182)</f>
        <v>0</v>
      </c>
      <c r="AI179" s="958">
        <f t="shared" ref="AI179" si="486">SUM(AI180:AI182)</f>
        <v>0</v>
      </c>
      <c r="AJ179" s="958">
        <f t="shared" ref="AJ179" si="487">SUM(AJ180:AJ182)</f>
        <v>0</v>
      </c>
      <c r="AK179" s="958">
        <f t="shared" ref="AK179" si="488">SUM(AK180:AK182)</f>
        <v>0</v>
      </c>
      <c r="AM179" s="292"/>
      <c r="AN179" s="293"/>
      <c r="AO179" s="293"/>
      <c r="AP179" s="181"/>
      <c r="AQ179" s="186"/>
      <c r="AR179" s="139"/>
      <c r="AS179" s="291"/>
      <c r="AT179" s="181"/>
      <c r="AU179" s="181"/>
      <c r="AV179" s="181"/>
      <c r="AW179" s="186"/>
      <c r="AY179" s="188"/>
      <c r="AZ179" s="189"/>
      <c r="BA179" s="189"/>
      <c r="BB179" s="189"/>
      <c r="BC179" s="190"/>
      <c r="BD179" s="182">
        <f t="shared" si="466"/>
        <v>9</v>
      </c>
      <c r="BE179" s="164" t="str">
        <f t="shared" si="444"/>
        <v>N/A</v>
      </c>
      <c r="BF179" s="185"/>
      <c r="BG179" s="182">
        <f t="shared" si="467"/>
        <v>9</v>
      </c>
      <c r="BH179" s="164" t="str">
        <f t="shared" si="446"/>
        <v>N/A</v>
      </c>
      <c r="BI179" s="185"/>
      <c r="BJ179" s="182">
        <f t="shared" si="468"/>
        <v>9</v>
      </c>
      <c r="BK179" s="164" t="str">
        <f t="shared" si="448"/>
        <v>N/A</v>
      </c>
      <c r="BL179" s="185"/>
      <c r="BO179" s="167"/>
      <c r="BP179" s="167"/>
      <c r="BQ179" s="167" t="str">
        <f t="shared" si="342"/>
        <v/>
      </c>
      <c r="BR179" s="167">
        <f t="shared" si="399"/>
        <v>9</v>
      </c>
      <c r="BS179" s="167">
        <f t="shared" si="400"/>
        <v>9</v>
      </c>
      <c r="BT179" s="167">
        <f t="shared" si="401"/>
        <v>9</v>
      </c>
      <c r="BW179" s="167" t="str">
        <f>D179</f>
        <v>LE 04</v>
      </c>
      <c r="BX179" s="167" t="str">
        <f>IFERROR(VLOOKUP($E179,'Pre-Assessment Estimator'!$E$11:$AB$226,'Pre-Assessment Estimator'!AB$2,FALSE),"")</f>
        <v>N/A</v>
      </c>
      <c r="BY179" s="167">
        <f>IFERROR(VLOOKUP($E179,'Pre-Assessment Estimator'!$E$11:$AI$226,'Pre-Assessment Estimator'!AI$2,FALSE),"")</f>
        <v>0</v>
      </c>
      <c r="BZ179" s="167">
        <f>IFERROR(VLOOKUP($BX179,$E$293:$H$326,F$291,FALSE),"")</f>
        <v>1</v>
      </c>
      <c r="CA179" s="167">
        <f>IFERROR(VLOOKUP($BX179,$E$293:$H$326,G$291,FALSE),"")</f>
        <v>0</v>
      </c>
      <c r="CB179" s="167"/>
      <c r="CC179" s="96" t="str">
        <f>IFERROR(VLOOKUP($BX179,$E$293:$H$326,I$291,FALSE),"")</f>
        <v/>
      </c>
    </row>
    <row r="180" spans="1:81" x14ac:dyDescent="0.25">
      <c r="A180" s="96">
        <v>172</v>
      </c>
      <c r="C180" s="96" t="str">
        <f t="shared" si="344"/>
        <v>LE 04</v>
      </c>
      <c r="D180" s="188" t="s">
        <v>693</v>
      </c>
      <c r="E180" s="940" t="s">
        <v>983</v>
      </c>
      <c r="F180" s="775"/>
      <c r="G180" s="775"/>
      <c r="H180" s="775"/>
      <c r="I180" s="775"/>
      <c r="J180" s="775"/>
      <c r="K180" s="775"/>
      <c r="L180" s="775"/>
      <c r="M180" s="775"/>
      <c r="N180" s="775"/>
      <c r="O180" s="775"/>
      <c r="P180" s="775"/>
      <c r="Q180" s="775"/>
      <c r="R180" s="775"/>
      <c r="T180" s="221">
        <f t="shared" si="435"/>
        <v>0</v>
      </c>
      <c r="U180" s="166"/>
      <c r="V180" s="167"/>
      <c r="W180" s="167"/>
      <c r="X180" s="167"/>
      <c r="Y180" s="168"/>
      <c r="Z180" s="168"/>
      <c r="AA180" s="169">
        <f t="shared" si="437"/>
        <v>0</v>
      </c>
      <c r="AB180" s="170">
        <f>IF($AC$5='Manuell filtrering og justering'!$J$2,Z180,(T180-AA180))</f>
        <v>0</v>
      </c>
      <c r="AD180" s="171">
        <f t="shared" si="438"/>
        <v>0</v>
      </c>
      <c r="AE180" s="171">
        <f t="shared" si="450"/>
        <v>0</v>
      </c>
      <c r="AF180" s="171">
        <f t="shared" si="451"/>
        <v>0</v>
      </c>
      <c r="AG180" s="171">
        <f t="shared" si="452"/>
        <v>0</v>
      </c>
      <c r="AI180" s="172">
        <f>IF(VLOOKUP(E180,'Pre-Assessment Estimator'!$E$11:$Z$226,'Pre-Assessment Estimator'!$G$2,FALSE)&gt;AB180,AB180,VLOOKUP(E180,'Pre-Assessment Estimator'!$E$11:$Z$226,'Pre-Assessment Estimator'!$G$2,FALSE))</f>
        <v>0</v>
      </c>
      <c r="AJ180" s="172">
        <f>IF(VLOOKUP(E180,'Pre-Assessment Estimator'!$E$11:$Z$226,'Pre-Assessment Estimator'!$N$2,FALSE)&gt;AB180,AB180,VLOOKUP(E180,'Pre-Assessment Estimator'!$E$11:$Z$226,'Pre-Assessment Estimator'!$N$2,FALSE))</f>
        <v>0</v>
      </c>
      <c r="AK180" s="172">
        <f>IF(VLOOKUP(E180,'Pre-Assessment Estimator'!$E$11:$Z$226,'Pre-Assessment Estimator'!$U$2,FALSE)&gt;AB180,AB180,VLOOKUP(E180,'Pre-Assessment Estimator'!$E$11:$Z$226,'Pre-Assessment Estimator'!$U$2,FALSE))</f>
        <v>0</v>
      </c>
      <c r="AM180" s="292"/>
      <c r="AN180" s="293"/>
      <c r="AO180" s="293"/>
      <c r="AP180" s="181"/>
      <c r="AQ180" s="186"/>
      <c r="AR180" s="139"/>
      <c r="AS180" s="291"/>
      <c r="AT180" s="181"/>
      <c r="AU180" s="181"/>
      <c r="AV180" s="181"/>
      <c r="AW180" s="186"/>
      <c r="AY180" s="188"/>
      <c r="AZ180" s="189"/>
      <c r="BA180" s="189"/>
      <c r="BB180" s="189"/>
      <c r="BC180" s="190"/>
      <c r="BD180" s="182">
        <f t="shared" si="466"/>
        <v>9</v>
      </c>
      <c r="BE180" s="164" t="str">
        <f t="shared" si="444"/>
        <v>N/A</v>
      </c>
      <c r="BF180" s="185"/>
      <c r="BG180" s="182">
        <f t="shared" si="467"/>
        <v>9</v>
      </c>
      <c r="BH180" s="164" t="str">
        <f t="shared" si="446"/>
        <v>N/A</v>
      </c>
      <c r="BI180" s="185"/>
      <c r="BJ180" s="182">
        <f t="shared" si="468"/>
        <v>9</v>
      </c>
      <c r="BK180" s="164" t="str">
        <f t="shared" si="448"/>
        <v>N/A</v>
      </c>
      <c r="BL180" s="185"/>
      <c r="BO180" s="167"/>
      <c r="BP180" s="167"/>
      <c r="BQ180" s="167" t="str">
        <f t="shared" si="342"/>
        <v/>
      </c>
      <c r="BR180" s="167">
        <f t="shared" si="399"/>
        <v>9</v>
      </c>
      <c r="BS180" s="167">
        <f t="shared" si="400"/>
        <v>9</v>
      </c>
      <c r="BT180" s="167">
        <f t="shared" si="401"/>
        <v>9</v>
      </c>
      <c r="BW180" s="167"/>
      <c r="BX180" s="167"/>
      <c r="BY180" s="167"/>
      <c r="BZ180" s="167"/>
      <c r="CA180" s="167"/>
      <c r="CB180" s="167"/>
    </row>
    <row r="181" spans="1:81" x14ac:dyDescent="0.25">
      <c r="A181" s="96">
        <v>173</v>
      </c>
      <c r="B181" s="96" t="str">
        <f t="shared" ref="B181:B182" si="489">$D$179&amp;D181</f>
        <v>LE 04b</v>
      </c>
      <c r="C181" s="96" t="str">
        <f t="shared" si="344"/>
        <v>LE 04</v>
      </c>
      <c r="D181" s="188" t="s">
        <v>696</v>
      </c>
      <c r="E181" s="1107" t="s">
        <v>679</v>
      </c>
      <c r="F181" s="775">
        <v>1</v>
      </c>
      <c r="G181" s="775">
        <v>1</v>
      </c>
      <c r="H181" s="775">
        <v>1</v>
      </c>
      <c r="I181" s="775">
        <v>1</v>
      </c>
      <c r="J181" s="775">
        <v>1</v>
      </c>
      <c r="K181" s="775">
        <v>1</v>
      </c>
      <c r="L181" s="775">
        <v>1</v>
      </c>
      <c r="M181" s="775">
        <v>1</v>
      </c>
      <c r="N181" s="775">
        <v>1</v>
      </c>
      <c r="O181" s="775">
        <v>1</v>
      </c>
      <c r="P181" s="775">
        <v>1</v>
      </c>
      <c r="Q181" s="775">
        <v>1</v>
      </c>
      <c r="R181" s="775">
        <v>1</v>
      </c>
      <c r="T181" s="221">
        <f t="shared" si="435"/>
        <v>1</v>
      </c>
      <c r="U181" s="166"/>
      <c r="V181" s="167"/>
      <c r="W181" s="167"/>
      <c r="X181" s="167"/>
      <c r="Y181" s="168"/>
      <c r="Z181" s="168">
        <f>VLOOKUP(B181,'Manuell filtrering og justering'!$A$7:$H$253,'Manuell filtrering og justering'!$H$1,FALSE)</f>
        <v>1</v>
      </c>
      <c r="AA181" s="169">
        <f t="shared" si="437"/>
        <v>0</v>
      </c>
      <c r="AB181" s="170">
        <f>IF($AC$5='Manuell filtrering og justering'!$J$2,Z181,(T181-AA181))</f>
        <v>1</v>
      </c>
      <c r="AD181" s="171">
        <f t="shared" si="438"/>
        <v>7.8947368421052634E-3</v>
      </c>
      <c r="AE181" s="171">
        <f t="shared" si="450"/>
        <v>0</v>
      </c>
      <c r="AF181" s="171">
        <f t="shared" si="451"/>
        <v>0</v>
      </c>
      <c r="AG181" s="171">
        <f t="shared" si="452"/>
        <v>0</v>
      </c>
      <c r="AI181" s="1067">
        <f>IF(AI244=AD_no,0,IF(VLOOKUP(E181,'Pre-Assessment Estimator'!$E$11:$Z$226,'Pre-Assessment Estimator'!$G$2,FALSE)&gt;AB181,AB181,VLOOKUP(E181,'Pre-Assessment Estimator'!$E$11:$Z$226,'Pre-Assessment Estimator'!$G$2,FALSE)))</f>
        <v>0</v>
      </c>
      <c r="AJ181" s="1067">
        <f>IF(AJ244=AD_no,0,IF(VLOOKUP(E181,'Pre-Assessment Estimator'!$E$11:$Z$226,'Pre-Assessment Estimator'!$N$2,FALSE)&gt;AB181,AB181,VLOOKUP(E181,'Pre-Assessment Estimator'!$E$11:$Z$226,'Pre-Assessment Estimator'!$N$2,FALSE)))</f>
        <v>0</v>
      </c>
      <c r="AK181" s="1067">
        <f>IF(AK244=AD_no,0,IF(VLOOKUP(E181,'Pre-Assessment Estimator'!$E$11:$Z$226,'Pre-Assessment Estimator'!$U$2,FALSE)&gt;AB181,AB181,VLOOKUP(E181,'Pre-Assessment Estimator'!$E$11:$Z$226,'Pre-Assessment Estimator'!$U$2,FALSE)))</f>
        <v>0</v>
      </c>
      <c r="AM181" s="292"/>
      <c r="AN181" s="293"/>
      <c r="AO181" s="293"/>
      <c r="AP181" s="181"/>
      <c r="AQ181" s="186">
        <v>1</v>
      </c>
      <c r="AR181" s="139"/>
      <c r="AS181" s="291"/>
      <c r="AT181" s="181"/>
      <c r="AU181" s="181"/>
      <c r="AV181" s="181"/>
      <c r="AW181" s="186">
        <v>1</v>
      </c>
      <c r="AY181" s="188"/>
      <c r="AZ181" s="189"/>
      <c r="BA181" s="189"/>
      <c r="BB181" s="189"/>
      <c r="BC181" s="183">
        <f>IF($AB181=0,0,IF($E$6=$H$9,AW181,AQ181))</f>
        <v>1</v>
      </c>
      <c r="BD181" s="182">
        <f t="shared" si="466"/>
        <v>4</v>
      </c>
      <c r="BE181" s="164" t="str">
        <f t="shared" si="444"/>
        <v>Excellent</v>
      </c>
      <c r="BF181" s="185"/>
      <c r="BG181" s="182">
        <f t="shared" si="467"/>
        <v>4</v>
      </c>
      <c r="BH181" s="164" t="str">
        <f t="shared" si="446"/>
        <v>Excellent</v>
      </c>
      <c r="BI181" s="185"/>
      <c r="BJ181" s="182">
        <f t="shared" si="468"/>
        <v>4</v>
      </c>
      <c r="BK181" s="164" t="str">
        <f t="shared" si="448"/>
        <v>Excellent</v>
      </c>
      <c r="BL181" s="185"/>
      <c r="BO181" s="167"/>
      <c r="BP181" s="167"/>
      <c r="BQ181" s="167" t="str">
        <f t="shared" si="342"/>
        <v/>
      </c>
      <c r="BR181" s="167">
        <f t="shared" si="399"/>
        <v>9</v>
      </c>
      <c r="BS181" s="167">
        <f t="shared" si="400"/>
        <v>9</v>
      </c>
      <c r="BT181" s="167">
        <f t="shared" si="401"/>
        <v>9</v>
      </c>
      <c r="BW181" s="167"/>
      <c r="BX181" s="167"/>
      <c r="BY181" s="167"/>
      <c r="BZ181" s="167"/>
      <c r="CA181" s="167"/>
      <c r="CB181" s="167"/>
    </row>
    <row r="182" spans="1:81" x14ac:dyDescent="0.25">
      <c r="A182" s="96">
        <v>174</v>
      </c>
      <c r="B182" s="96" t="str">
        <f t="shared" si="489"/>
        <v>LE 04c</v>
      </c>
      <c r="C182" s="96" t="str">
        <f t="shared" si="344"/>
        <v>LE 04</v>
      </c>
      <c r="D182" s="188" t="s">
        <v>697</v>
      </c>
      <c r="E182" s="1107" t="s">
        <v>680</v>
      </c>
      <c r="F182" s="775">
        <v>3</v>
      </c>
      <c r="G182" s="775">
        <v>3</v>
      </c>
      <c r="H182" s="775">
        <v>3</v>
      </c>
      <c r="I182" s="775">
        <v>3</v>
      </c>
      <c r="J182" s="775">
        <v>3</v>
      </c>
      <c r="K182" s="775">
        <v>3</v>
      </c>
      <c r="L182" s="775">
        <v>3</v>
      </c>
      <c r="M182" s="775">
        <v>3</v>
      </c>
      <c r="N182" s="775">
        <v>3</v>
      </c>
      <c r="O182" s="775">
        <v>3</v>
      </c>
      <c r="P182" s="775">
        <v>3</v>
      </c>
      <c r="Q182" s="775">
        <v>3</v>
      </c>
      <c r="R182" s="775">
        <v>3</v>
      </c>
      <c r="T182" s="221">
        <f t="shared" si="435"/>
        <v>3</v>
      </c>
      <c r="U182" s="166"/>
      <c r="V182" s="167"/>
      <c r="W182" s="167"/>
      <c r="X182" s="167"/>
      <c r="Y182" s="168"/>
      <c r="Z182" s="168">
        <f>VLOOKUP(B182,'Manuell filtrering og justering'!$A$7:$H$253,'Manuell filtrering og justering'!$H$1,FALSE)</f>
        <v>3</v>
      </c>
      <c r="AA182" s="169">
        <f t="shared" si="437"/>
        <v>0</v>
      </c>
      <c r="AB182" s="170">
        <f>IF($AC$5='Manuell filtrering og justering'!$J$2,Z182,(T182-AA182))</f>
        <v>3</v>
      </c>
      <c r="AD182" s="171">
        <f t="shared" si="438"/>
        <v>2.368421052631579E-2</v>
      </c>
      <c r="AE182" s="171">
        <f t="shared" si="450"/>
        <v>0</v>
      </c>
      <c r="AF182" s="171">
        <f t="shared" si="451"/>
        <v>0</v>
      </c>
      <c r="AG182" s="171">
        <f t="shared" si="452"/>
        <v>0</v>
      </c>
      <c r="AI182" s="1067">
        <f>IF(AI244=AD_no,0,IF(VLOOKUP(E182,'Pre-Assessment Estimator'!$E$11:$Z$226,'Pre-Assessment Estimator'!$G$2,FALSE)&gt;AB182,AB182,VLOOKUP(E182,'Pre-Assessment Estimator'!$E$11:$Z$226,'Pre-Assessment Estimator'!$G$2,FALSE)))</f>
        <v>0</v>
      </c>
      <c r="AJ182" s="1067">
        <f>IF(AJ244=AD_no,0,IF(VLOOKUP(E182,'Pre-Assessment Estimator'!$E$11:$Z$226,'Pre-Assessment Estimator'!$N$2,FALSE)&gt;AB182,AB182,VLOOKUP(E182,'Pre-Assessment Estimator'!$E$11:$Z$226,'Pre-Assessment Estimator'!$N$2,FALSE)))</f>
        <v>0</v>
      </c>
      <c r="AK182" s="1067">
        <f>IF(AK244=AD_no,0,IF(VLOOKUP(E182,'Pre-Assessment Estimator'!$E$11:$Z$226,'Pre-Assessment Estimator'!$U$2,FALSE)&gt;AB182,AB182,VLOOKUP(E182,'Pre-Assessment Estimator'!$E$11:$Z$226,'Pre-Assessment Estimator'!$U$2,FALSE)))</f>
        <v>0</v>
      </c>
      <c r="AM182" s="292"/>
      <c r="AN182" s="293"/>
      <c r="AO182" s="293"/>
      <c r="AP182" s="181"/>
      <c r="AQ182" s="186"/>
      <c r="AR182" s="139"/>
      <c r="AS182" s="291"/>
      <c r="AT182" s="181"/>
      <c r="AU182" s="181"/>
      <c r="AV182" s="181"/>
      <c r="AW182" s="186"/>
      <c r="AY182" s="188"/>
      <c r="AZ182" s="189"/>
      <c r="BA182" s="189"/>
      <c r="BB182" s="189"/>
      <c r="BC182" s="190"/>
      <c r="BD182" s="182">
        <f t="shared" si="466"/>
        <v>9</v>
      </c>
      <c r="BE182" s="164" t="str">
        <f t="shared" si="444"/>
        <v>N/A</v>
      </c>
      <c r="BF182" s="185"/>
      <c r="BG182" s="182">
        <f t="shared" si="467"/>
        <v>9</v>
      </c>
      <c r="BH182" s="164" t="str">
        <f t="shared" si="446"/>
        <v>N/A</v>
      </c>
      <c r="BI182" s="185"/>
      <c r="BJ182" s="182">
        <f t="shared" si="468"/>
        <v>9</v>
      </c>
      <c r="BK182" s="164" t="str">
        <f t="shared" si="448"/>
        <v>N/A</v>
      </c>
      <c r="BL182" s="185"/>
      <c r="BO182" s="167"/>
      <c r="BP182" s="167"/>
      <c r="BQ182" s="167" t="str">
        <f t="shared" si="342"/>
        <v/>
      </c>
      <c r="BR182" s="167">
        <f t="shared" si="399"/>
        <v>9</v>
      </c>
      <c r="BS182" s="167">
        <f t="shared" si="400"/>
        <v>9</v>
      </c>
      <c r="BT182" s="167">
        <f t="shared" si="401"/>
        <v>9</v>
      </c>
      <c r="BW182" s="167"/>
      <c r="BX182" s="167"/>
      <c r="BY182" s="167"/>
      <c r="BZ182" s="167"/>
      <c r="CA182" s="167"/>
      <c r="CB182" s="167"/>
    </row>
    <row r="183" spans="1:81" x14ac:dyDescent="0.25">
      <c r="A183" s="96">
        <v>175</v>
      </c>
      <c r="B183" s="137" t="str">
        <f>D183</f>
        <v>LE 05</v>
      </c>
      <c r="C183" s="137" t="str">
        <f>B183</f>
        <v>LE 05</v>
      </c>
      <c r="D183" s="946" t="s">
        <v>183</v>
      </c>
      <c r="E183" s="832" t="s">
        <v>472</v>
      </c>
      <c r="F183" s="933">
        <f>SUM(F184:F186)</f>
        <v>2</v>
      </c>
      <c r="G183" s="933">
        <f t="shared" ref="G183:R183" si="490">SUM(G184:G186)</f>
        <v>2</v>
      </c>
      <c r="H183" s="933">
        <f t="shared" si="490"/>
        <v>2</v>
      </c>
      <c r="I183" s="933">
        <f t="shared" si="490"/>
        <v>2</v>
      </c>
      <c r="J183" s="933">
        <f t="shared" si="490"/>
        <v>2</v>
      </c>
      <c r="K183" s="933">
        <f t="shared" si="490"/>
        <v>2</v>
      </c>
      <c r="L183" s="933">
        <f t="shared" si="490"/>
        <v>2</v>
      </c>
      <c r="M183" s="933">
        <f t="shared" si="490"/>
        <v>2</v>
      </c>
      <c r="N183" s="933">
        <f t="shared" si="490"/>
        <v>2</v>
      </c>
      <c r="O183" s="933">
        <f t="shared" si="490"/>
        <v>2</v>
      </c>
      <c r="P183" s="933">
        <f t="shared" si="490"/>
        <v>2</v>
      </c>
      <c r="Q183" s="933">
        <f t="shared" ref="Q183" si="491">SUM(Q184:Q186)</f>
        <v>2</v>
      </c>
      <c r="R183" s="933">
        <f t="shared" si="490"/>
        <v>2</v>
      </c>
      <c r="T183" s="963">
        <f t="shared" si="435"/>
        <v>2</v>
      </c>
      <c r="U183" s="222"/>
      <c r="V183" s="230"/>
      <c r="W183" s="230"/>
      <c r="X183" s="230">
        <f>'Manuell filtrering og justering'!E79</f>
        <v>0</v>
      </c>
      <c r="Y183" s="230"/>
      <c r="Z183" s="958">
        <f t="shared" ref="Z183" si="492">SUM(Z184:Z186)</f>
        <v>2</v>
      </c>
      <c r="AA183" s="963">
        <f t="shared" si="437"/>
        <v>0</v>
      </c>
      <c r="AB183" s="1066">
        <f>SUM(AB184:AB186)</f>
        <v>2</v>
      </c>
      <c r="AD183" s="171">
        <f t="shared" si="438"/>
        <v>1.5789473684210527E-2</v>
      </c>
      <c r="AE183" s="921">
        <f>SUM(AE184:AE186)</f>
        <v>0</v>
      </c>
      <c r="AF183" s="921">
        <f t="shared" ref="AF183" si="493">SUM(AF184:AF186)</f>
        <v>0</v>
      </c>
      <c r="AG183" s="921">
        <f t="shared" ref="AG183" si="494">SUM(AG184:AG186)</f>
        <v>0</v>
      </c>
      <c r="AI183" s="958">
        <f t="shared" ref="AI183" si="495">SUM(AI184:AI186)</f>
        <v>0</v>
      </c>
      <c r="AJ183" s="958">
        <f t="shared" ref="AJ183" si="496">SUM(AJ184:AJ186)</f>
        <v>0</v>
      </c>
      <c r="AK183" s="958">
        <f t="shared" ref="AK183" si="497">SUM(AK184:AK186)</f>
        <v>0</v>
      </c>
      <c r="AM183" s="292"/>
      <c r="AN183" s="293"/>
      <c r="AO183" s="293"/>
      <c r="AP183" s="181"/>
      <c r="AQ183" s="186"/>
      <c r="AR183" s="139"/>
      <c r="AS183" s="291"/>
      <c r="AT183" s="181"/>
      <c r="AU183" s="181"/>
      <c r="AV183" s="181"/>
      <c r="AW183" s="186"/>
      <c r="AY183" s="188"/>
      <c r="AZ183" s="189"/>
      <c r="BA183" s="189"/>
      <c r="BB183" s="189"/>
      <c r="BC183" s="190"/>
      <c r="BD183" s="182">
        <f t="shared" si="466"/>
        <v>9</v>
      </c>
      <c r="BE183" s="164" t="str">
        <f t="shared" si="444"/>
        <v>N/A</v>
      </c>
      <c r="BF183" s="185"/>
      <c r="BG183" s="182">
        <f t="shared" si="467"/>
        <v>9</v>
      </c>
      <c r="BH183" s="164" t="str">
        <f t="shared" si="446"/>
        <v>N/A</v>
      </c>
      <c r="BI183" s="185"/>
      <c r="BJ183" s="182">
        <f t="shared" si="468"/>
        <v>9</v>
      </c>
      <c r="BK183" s="164" t="str">
        <f t="shared" si="448"/>
        <v>N/A</v>
      </c>
      <c r="BL183" s="185"/>
      <c r="BO183" s="167"/>
      <c r="BP183" s="167"/>
      <c r="BQ183" s="167" t="str">
        <f t="shared" si="342"/>
        <v/>
      </c>
      <c r="BR183" s="167">
        <f t="shared" si="399"/>
        <v>9</v>
      </c>
      <c r="BS183" s="167">
        <f t="shared" si="400"/>
        <v>9</v>
      </c>
      <c r="BT183" s="167">
        <f t="shared" si="401"/>
        <v>9</v>
      </c>
      <c r="BW183" s="167" t="str">
        <f>D183</f>
        <v>LE 05</v>
      </c>
      <c r="BX183" s="167" t="str">
        <f>IFERROR(VLOOKUP($E183,'Pre-Assessment Estimator'!$E$11:$AB$226,'Pre-Assessment Estimator'!AB$2,FALSE),"")</f>
        <v>N/A</v>
      </c>
      <c r="BY183" s="167">
        <f>IFERROR(VLOOKUP($E183,'Pre-Assessment Estimator'!$E$11:$AI$226,'Pre-Assessment Estimator'!AI$2,FALSE),"")</f>
        <v>0</v>
      </c>
      <c r="BZ183" s="167">
        <f>IFERROR(VLOOKUP($BX183,$E$293:$H$326,F$291,FALSE),"")</f>
        <v>1</v>
      </c>
      <c r="CA183" s="167">
        <f>IFERROR(VLOOKUP($BX183,$E$293:$H$326,G$291,FALSE),"")</f>
        <v>0</v>
      </c>
      <c r="CB183" s="167"/>
      <c r="CC183" s="96" t="str">
        <f>IFERROR(VLOOKUP($BX183,$E$293:$H$326,I$291,FALSE),"")</f>
        <v/>
      </c>
    </row>
    <row r="184" spans="1:81" x14ac:dyDescent="0.25">
      <c r="A184" s="96">
        <v>176</v>
      </c>
      <c r="C184" s="96" t="str">
        <f t="shared" si="344"/>
        <v>LE 05</v>
      </c>
      <c r="D184" s="188" t="s">
        <v>693</v>
      </c>
      <c r="E184" s="940" t="s">
        <v>681</v>
      </c>
      <c r="F184" s="775"/>
      <c r="G184" s="775"/>
      <c r="H184" s="775"/>
      <c r="I184" s="775"/>
      <c r="J184" s="775"/>
      <c r="K184" s="775"/>
      <c r="L184" s="775"/>
      <c r="M184" s="775"/>
      <c r="N184" s="775"/>
      <c r="O184" s="775"/>
      <c r="P184" s="775"/>
      <c r="Q184" s="775"/>
      <c r="R184" s="775"/>
      <c r="T184" s="221">
        <f t="shared" si="435"/>
        <v>0</v>
      </c>
      <c r="U184" s="166"/>
      <c r="V184" s="167"/>
      <c r="W184" s="167"/>
      <c r="X184" s="167"/>
      <c r="Y184" s="168"/>
      <c r="Z184" s="168"/>
      <c r="AA184" s="169">
        <f t="shared" si="437"/>
        <v>0</v>
      </c>
      <c r="AB184" s="170">
        <f>IF($AC$5='Manuell filtrering og justering'!$J$2,Z184,(T184-AA184))</f>
        <v>0</v>
      </c>
      <c r="AD184" s="171">
        <f t="shared" si="438"/>
        <v>0</v>
      </c>
      <c r="AE184" s="171">
        <f t="shared" si="450"/>
        <v>0</v>
      </c>
      <c r="AF184" s="171">
        <f t="shared" si="451"/>
        <v>0</v>
      </c>
      <c r="AG184" s="171">
        <f t="shared" si="452"/>
        <v>0</v>
      </c>
      <c r="AI184" s="172">
        <f>IF(VLOOKUP(E184,'Pre-Assessment Estimator'!$E$11:$Z$226,'Pre-Assessment Estimator'!$G$2,FALSE)&gt;AB184,AB184,VLOOKUP(E184,'Pre-Assessment Estimator'!$E$11:$Z$226,'Pre-Assessment Estimator'!$G$2,FALSE))</f>
        <v>0</v>
      </c>
      <c r="AJ184" s="172">
        <f>IF(VLOOKUP(E184,'Pre-Assessment Estimator'!$E$11:$Z$226,'Pre-Assessment Estimator'!$N$2,FALSE)&gt;AB184,AB184,VLOOKUP(E184,'Pre-Assessment Estimator'!$E$11:$Z$226,'Pre-Assessment Estimator'!$N$2,FALSE))</f>
        <v>0</v>
      </c>
      <c r="AK184" s="172">
        <f>IF(VLOOKUP(E184,'Pre-Assessment Estimator'!$E$11:$Z$226,'Pre-Assessment Estimator'!$U$2,FALSE)&gt;AB184,AB184,VLOOKUP(E184,'Pre-Assessment Estimator'!$E$11:$Z$226,'Pre-Assessment Estimator'!$U$2,FALSE))</f>
        <v>0</v>
      </c>
      <c r="AM184" s="292"/>
      <c r="AN184" s="293"/>
      <c r="AO184" s="293"/>
      <c r="AP184" s="181"/>
      <c r="AQ184" s="186"/>
      <c r="AR184" s="139"/>
      <c r="AS184" s="291"/>
      <c r="AT184" s="181"/>
      <c r="AU184" s="181"/>
      <c r="AV184" s="181"/>
      <c r="AW184" s="186"/>
      <c r="AY184" s="188"/>
      <c r="AZ184" s="189"/>
      <c r="BA184" s="189"/>
      <c r="BB184" s="190"/>
      <c r="BC184" s="190"/>
      <c r="BD184" s="182">
        <f t="shared" si="466"/>
        <v>9</v>
      </c>
      <c r="BE184" s="164" t="str">
        <f t="shared" si="444"/>
        <v>N/A</v>
      </c>
      <c r="BF184" s="185"/>
      <c r="BG184" s="182">
        <f t="shared" si="467"/>
        <v>9</v>
      </c>
      <c r="BH184" s="164" t="str">
        <f t="shared" si="446"/>
        <v>N/A</v>
      </c>
      <c r="BI184" s="185"/>
      <c r="BJ184" s="182">
        <f t="shared" si="468"/>
        <v>9</v>
      </c>
      <c r="BK184" s="164" t="str">
        <f t="shared" si="448"/>
        <v>N/A</v>
      </c>
      <c r="BL184" s="185"/>
      <c r="BO184" s="167"/>
      <c r="BP184" s="167"/>
      <c r="BQ184" s="167" t="str">
        <f t="shared" si="342"/>
        <v/>
      </c>
      <c r="BR184" s="167">
        <f t="shared" si="399"/>
        <v>9</v>
      </c>
      <c r="BS184" s="167">
        <f t="shared" si="400"/>
        <v>9</v>
      </c>
      <c r="BT184" s="167">
        <f t="shared" si="401"/>
        <v>9</v>
      </c>
      <c r="BW184" s="167"/>
      <c r="BX184" s="167"/>
      <c r="BY184" s="167"/>
      <c r="BZ184" s="167"/>
      <c r="CA184" s="167"/>
      <c r="CB184" s="167"/>
    </row>
    <row r="185" spans="1:81" x14ac:dyDescent="0.25">
      <c r="A185" s="96">
        <v>177</v>
      </c>
      <c r="B185" s="96" t="str">
        <f t="shared" ref="B185:B186" si="498">$D$183&amp;D185</f>
        <v>LE 05b</v>
      </c>
      <c r="C185" s="96" t="str">
        <f t="shared" si="344"/>
        <v>LE 05</v>
      </c>
      <c r="D185" s="188" t="s">
        <v>696</v>
      </c>
      <c r="E185" s="1107" t="s">
        <v>682</v>
      </c>
      <c r="F185" s="775">
        <v>1</v>
      </c>
      <c r="G185" s="775">
        <v>1</v>
      </c>
      <c r="H185" s="775">
        <v>1</v>
      </c>
      <c r="I185" s="775">
        <v>1</v>
      </c>
      <c r="J185" s="775">
        <v>1</v>
      </c>
      <c r="K185" s="775">
        <v>1</v>
      </c>
      <c r="L185" s="775">
        <v>1</v>
      </c>
      <c r="M185" s="775">
        <v>1</v>
      </c>
      <c r="N185" s="775">
        <v>1</v>
      </c>
      <c r="O185" s="775">
        <v>1</v>
      </c>
      <c r="P185" s="775">
        <v>1</v>
      </c>
      <c r="Q185" s="775">
        <v>1</v>
      </c>
      <c r="R185" s="775">
        <v>1</v>
      </c>
      <c r="T185" s="221">
        <f t="shared" si="435"/>
        <v>1</v>
      </c>
      <c r="U185" s="166"/>
      <c r="V185" s="167"/>
      <c r="W185" s="167"/>
      <c r="X185" s="167"/>
      <c r="Y185" s="168"/>
      <c r="Z185" s="168">
        <f>VLOOKUP(B185,'Manuell filtrering og justering'!$A$7:$H$253,'Manuell filtrering og justering'!$H$1,FALSE)</f>
        <v>1</v>
      </c>
      <c r="AA185" s="169">
        <f t="shared" si="437"/>
        <v>0</v>
      </c>
      <c r="AB185" s="170">
        <f>IF($AC$5='Manuell filtrering og justering'!$J$2,Z185,(T185-AA185))</f>
        <v>1</v>
      </c>
      <c r="AD185" s="171">
        <f t="shared" si="438"/>
        <v>7.8947368421052634E-3</v>
      </c>
      <c r="AE185" s="171">
        <f t="shared" si="450"/>
        <v>0</v>
      </c>
      <c r="AF185" s="171">
        <f t="shared" si="451"/>
        <v>0</v>
      </c>
      <c r="AG185" s="171">
        <f t="shared" si="452"/>
        <v>0</v>
      </c>
      <c r="AI185" s="1067">
        <f>IF(AI245=AD_no,0,IF(VLOOKUP(E185,'Pre-Assessment Estimator'!$E$11:$Z$226,'Pre-Assessment Estimator'!$G$2,FALSE)&gt;AB185,AB185,VLOOKUP(E185,'Pre-Assessment Estimator'!$E$11:$Z$226,'Pre-Assessment Estimator'!$G$2,FALSE)))</f>
        <v>0</v>
      </c>
      <c r="AJ185" s="1067">
        <f>IF(AJ245=AD_no,0,IF(VLOOKUP(E185,'Pre-Assessment Estimator'!$E$11:$Z$226,'Pre-Assessment Estimator'!$N$2,FALSE)&gt;AB185,AB185,VLOOKUP(E185,'Pre-Assessment Estimator'!$E$11:$Z$226,'Pre-Assessment Estimator'!$N$2,FALSE)))</f>
        <v>0</v>
      </c>
      <c r="AK185" s="1067">
        <f>IF(AK245=AD_no,0,IF(VLOOKUP(E185,'Pre-Assessment Estimator'!$E$11:$Z$226,'Pre-Assessment Estimator'!$U$2,FALSE)&gt;AB185,AB185,VLOOKUP(E185,'Pre-Assessment Estimator'!$E$11:$Z$226,'Pre-Assessment Estimator'!$U$2,FALSE)))</f>
        <v>0</v>
      </c>
      <c r="AM185" s="292"/>
      <c r="AN185" s="293"/>
      <c r="AO185" s="293"/>
      <c r="AP185" s="181"/>
      <c r="AQ185" s="186"/>
      <c r="AR185" s="139"/>
      <c r="AS185" s="291"/>
      <c r="AT185" s="181"/>
      <c r="AU185" s="181"/>
      <c r="AV185" s="181"/>
      <c r="AW185" s="186"/>
      <c r="AY185" s="188"/>
      <c r="AZ185" s="189"/>
      <c r="BA185" s="189"/>
      <c r="BB185" s="190"/>
      <c r="BC185" s="190"/>
      <c r="BD185" s="182">
        <f t="shared" si="466"/>
        <v>9</v>
      </c>
      <c r="BE185" s="164" t="str">
        <f t="shared" si="444"/>
        <v>N/A</v>
      </c>
      <c r="BF185" s="185"/>
      <c r="BG185" s="182">
        <f t="shared" si="467"/>
        <v>9</v>
      </c>
      <c r="BH185" s="164" t="str">
        <f t="shared" si="446"/>
        <v>N/A</v>
      </c>
      <c r="BI185" s="185"/>
      <c r="BJ185" s="182">
        <f t="shared" si="468"/>
        <v>9</v>
      </c>
      <c r="BK185" s="164" t="str">
        <f t="shared" si="448"/>
        <v>N/A</v>
      </c>
      <c r="BL185" s="185"/>
      <c r="BO185" s="167"/>
      <c r="BP185" s="167"/>
      <c r="BQ185" s="167" t="str">
        <f t="shared" si="342"/>
        <v/>
      </c>
      <c r="BR185" s="167">
        <f t="shared" si="399"/>
        <v>9</v>
      </c>
      <c r="BS185" s="167">
        <f t="shared" si="400"/>
        <v>9</v>
      </c>
      <c r="BT185" s="167">
        <f t="shared" si="401"/>
        <v>9</v>
      </c>
      <c r="BW185" s="167"/>
      <c r="BX185" s="167"/>
      <c r="BY185" s="167"/>
      <c r="BZ185" s="167"/>
      <c r="CA185" s="167"/>
      <c r="CB185" s="167"/>
    </row>
    <row r="186" spans="1:81" x14ac:dyDescent="0.25">
      <c r="A186" s="96">
        <v>178</v>
      </c>
      <c r="B186" s="96" t="str">
        <f t="shared" si="498"/>
        <v>LE 05c</v>
      </c>
      <c r="C186" s="96" t="str">
        <f t="shared" si="344"/>
        <v>LE 05</v>
      </c>
      <c r="D186" s="188" t="s">
        <v>697</v>
      </c>
      <c r="E186" s="1107" t="s">
        <v>683</v>
      </c>
      <c r="F186" s="775">
        <v>1</v>
      </c>
      <c r="G186" s="775">
        <v>1</v>
      </c>
      <c r="H186" s="775">
        <v>1</v>
      </c>
      <c r="I186" s="775">
        <v>1</v>
      </c>
      <c r="J186" s="775">
        <v>1</v>
      </c>
      <c r="K186" s="775">
        <v>1</v>
      </c>
      <c r="L186" s="775">
        <v>1</v>
      </c>
      <c r="M186" s="775">
        <v>1</v>
      </c>
      <c r="N186" s="775">
        <v>1</v>
      </c>
      <c r="O186" s="775">
        <v>1</v>
      </c>
      <c r="P186" s="775">
        <v>1</v>
      </c>
      <c r="Q186" s="775">
        <v>1</v>
      </c>
      <c r="R186" s="775">
        <v>1</v>
      </c>
      <c r="T186" s="221">
        <f t="shared" si="435"/>
        <v>1</v>
      </c>
      <c r="U186" s="166"/>
      <c r="V186" s="167"/>
      <c r="W186" s="167"/>
      <c r="X186" s="167"/>
      <c r="Y186" s="168"/>
      <c r="Z186" s="168">
        <f>VLOOKUP(B186,'Manuell filtrering og justering'!$A$7:$H$253,'Manuell filtrering og justering'!$H$1,FALSE)</f>
        <v>1</v>
      </c>
      <c r="AA186" s="169">
        <f t="shared" si="437"/>
        <v>0</v>
      </c>
      <c r="AB186" s="170">
        <f>IF($AC$5='Manuell filtrering og justering'!$J$2,Z186,(T186-AA186))</f>
        <v>1</v>
      </c>
      <c r="AD186" s="171">
        <f t="shared" si="438"/>
        <v>7.8947368421052634E-3</v>
      </c>
      <c r="AE186" s="171">
        <f t="shared" si="450"/>
        <v>0</v>
      </c>
      <c r="AF186" s="171">
        <f t="shared" si="451"/>
        <v>0</v>
      </c>
      <c r="AG186" s="171">
        <f t="shared" si="452"/>
        <v>0</v>
      </c>
      <c r="AI186" s="1067">
        <f>IF(AI245=AD_no,0,IF(VLOOKUP(E186,'Pre-Assessment Estimator'!$E$11:$Z$226,'Pre-Assessment Estimator'!$G$2,FALSE)&gt;AB186,AB186,VLOOKUP(E186,'Pre-Assessment Estimator'!$E$11:$Z$226,'Pre-Assessment Estimator'!$G$2,FALSE)))</f>
        <v>0</v>
      </c>
      <c r="AJ186" s="1067">
        <f>IF(AJ245=AD_no,0,IF(VLOOKUP(E186,'Pre-Assessment Estimator'!$E$11:$Z$226,'Pre-Assessment Estimator'!$N$2,FALSE)&gt;AB186,AB186,VLOOKUP(E186,'Pre-Assessment Estimator'!$E$11:$Z$226,'Pre-Assessment Estimator'!$N$2,FALSE)))</f>
        <v>0</v>
      </c>
      <c r="AK186" s="1067">
        <f>IF(AK245=AD_no,0,IF(VLOOKUP(E186,'Pre-Assessment Estimator'!$E$11:$Z$226,'Pre-Assessment Estimator'!$U$2,FALSE)&gt;AB186,AB186,VLOOKUP(E186,'Pre-Assessment Estimator'!$E$11:$Z$226,'Pre-Assessment Estimator'!$U$2,FALSE)))</f>
        <v>0</v>
      </c>
      <c r="AM186" s="292"/>
      <c r="AN186" s="293"/>
      <c r="AO186" s="293"/>
      <c r="AP186" s="181"/>
      <c r="AQ186" s="186"/>
      <c r="AR186" s="139"/>
      <c r="AS186" s="291"/>
      <c r="AT186" s="181"/>
      <c r="AU186" s="181"/>
      <c r="AV186" s="181"/>
      <c r="AW186" s="186"/>
      <c r="AY186" s="188"/>
      <c r="AZ186" s="189"/>
      <c r="BA186" s="189"/>
      <c r="BB186" s="190"/>
      <c r="BC186" s="190"/>
      <c r="BD186" s="182">
        <f t="shared" si="466"/>
        <v>9</v>
      </c>
      <c r="BE186" s="164" t="str">
        <f t="shared" si="444"/>
        <v>N/A</v>
      </c>
      <c r="BF186" s="185"/>
      <c r="BG186" s="182">
        <f t="shared" si="467"/>
        <v>9</v>
      </c>
      <c r="BH186" s="164" t="str">
        <f t="shared" si="446"/>
        <v>N/A</v>
      </c>
      <c r="BI186" s="185"/>
      <c r="BJ186" s="182">
        <f t="shared" si="468"/>
        <v>9</v>
      </c>
      <c r="BK186" s="164" t="str">
        <f t="shared" si="448"/>
        <v>N/A</v>
      </c>
      <c r="BL186" s="185"/>
      <c r="BO186" s="167"/>
      <c r="BP186" s="167"/>
      <c r="BQ186" s="167" t="str">
        <f t="shared" si="342"/>
        <v/>
      </c>
      <c r="BR186" s="167">
        <f t="shared" si="399"/>
        <v>9</v>
      </c>
      <c r="BS186" s="167">
        <f t="shared" si="400"/>
        <v>9</v>
      </c>
      <c r="BT186" s="167">
        <f t="shared" si="401"/>
        <v>9</v>
      </c>
      <c r="BW186" s="167"/>
      <c r="BX186" s="167"/>
      <c r="BY186" s="167"/>
      <c r="BZ186" s="167"/>
      <c r="CA186" s="167"/>
      <c r="CB186" s="167"/>
    </row>
    <row r="187" spans="1:81" x14ac:dyDescent="0.25">
      <c r="A187" s="96">
        <v>179</v>
      </c>
      <c r="B187" s="137" t="str">
        <f>D187</f>
        <v>LE 06</v>
      </c>
      <c r="C187" s="137" t="str">
        <f>B187</f>
        <v>LE 06</v>
      </c>
      <c r="D187" s="946" t="s">
        <v>184</v>
      </c>
      <c r="E187" s="832" t="s">
        <v>690</v>
      </c>
      <c r="F187" s="933">
        <f>F188</f>
        <v>1</v>
      </c>
      <c r="G187" s="933">
        <f t="shared" ref="G187:R187" si="499">G188</f>
        <v>1</v>
      </c>
      <c r="H187" s="933">
        <f t="shared" si="499"/>
        <v>1</v>
      </c>
      <c r="I187" s="933">
        <f t="shared" si="499"/>
        <v>1</v>
      </c>
      <c r="J187" s="933">
        <f t="shared" si="499"/>
        <v>1</v>
      </c>
      <c r="K187" s="933">
        <f t="shared" si="499"/>
        <v>1</v>
      </c>
      <c r="L187" s="933">
        <f>L188</f>
        <v>1</v>
      </c>
      <c r="M187" s="933">
        <f t="shared" si="499"/>
        <v>1</v>
      </c>
      <c r="N187" s="933">
        <f t="shared" si="499"/>
        <v>1</v>
      </c>
      <c r="O187" s="933">
        <f t="shared" si="499"/>
        <v>1</v>
      </c>
      <c r="P187" s="933">
        <f t="shared" si="499"/>
        <v>1</v>
      </c>
      <c r="Q187" s="933">
        <f t="shared" si="499"/>
        <v>1</v>
      </c>
      <c r="R187" s="933">
        <f t="shared" si="499"/>
        <v>1</v>
      </c>
      <c r="T187" s="963">
        <f t="shared" si="435"/>
        <v>1</v>
      </c>
      <c r="U187" s="222"/>
      <c r="V187" s="230"/>
      <c r="W187" s="230"/>
      <c r="X187" s="230">
        <f>'Manuell filtrering og justering'!E80</f>
        <v>0</v>
      </c>
      <c r="Y187" s="230"/>
      <c r="Z187" s="958">
        <f t="shared" ref="Z187" si="500">Z188</f>
        <v>1</v>
      </c>
      <c r="AA187" s="963">
        <f t="shared" si="437"/>
        <v>0</v>
      </c>
      <c r="AB187" s="1066">
        <f>SUM(AB188)</f>
        <v>1</v>
      </c>
      <c r="AD187" s="171">
        <f t="shared" si="438"/>
        <v>7.8947368421052634E-3</v>
      </c>
      <c r="AE187" s="921">
        <f>SUM(AE188)</f>
        <v>0</v>
      </c>
      <c r="AF187" s="921">
        <f t="shared" ref="AF187" si="501">SUM(AF188)</f>
        <v>0</v>
      </c>
      <c r="AG187" s="921">
        <f t="shared" ref="AG187" si="502">SUM(AG188)</f>
        <v>0</v>
      </c>
      <c r="AI187" s="958">
        <f t="shared" ref="AI187" si="503">AI188</f>
        <v>0</v>
      </c>
      <c r="AJ187" s="958">
        <f t="shared" ref="AJ187" si="504">AJ188</f>
        <v>0</v>
      </c>
      <c r="AK187" s="958">
        <f t="shared" ref="AK187" si="505">AK188</f>
        <v>0</v>
      </c>
      <c r="AM187" s="292"/>
      <c r="AN187" s="293"/>
      <c r="AO187" s="293"/>
      <c r="AP187" s="181"/>
      <c r="AQ187" s="186"/>
      <c r="AR187" s="139"/>
      <c r="AS187" s="291"/>
      <c r="AT187" s="181"/>
      <c r="AU187" s="181"/>
      <c r="AV187" s="181"/>
      <c r="AW187" s="186"/>
      <c r="AY187" s="188"/>
      <c r="AZ187" s="189"/>
      <c r="BA187" s="189"/>
      <c r="BB187" s="190"/>
      <c r="BC187" s="190"/>
      <c r="BD187" s="182">
        <f t="shared" si="466"/>
        <v>9</v>
      </c>
      <c r="BE187" s="164" t="str">
        <f t="shared" si="444"/>
        <v>N/A</v>
      </c>
      <c r="BF187" s="185"/>
      <c r="BG187" s="182">
        <f t="shared" si="467"/>
        <v>9</v>
      </c>
      <c r="BH187" s="164" t="str">
        <f t="shared" si="446"/>
        <v>N/A</v>
      </c>
      <c r="BI187" s="185"/>
      <c r="BJ187" s="182">
        <f t="shared" si="468"/>
        <v>9</v>
      </c>
      <c r="BK187" s="164" t="str">
        <f t="shared" si="448"/>
        <v>N/A</v>
      </c>
      <c r="BL187" s="185"/>
      <c r="BO187" s="167"/>
      <c r="BP187" s="167"/>
      <c r="BQ187" s="167" t="str">
        <f t="shared" si="342"/>
        <v/>
      </c>
      <c r="BR187" s="167">
        <f t="shared" si="399"/>
        <v>9</v>
      </c>
      <c r="BS187" s="167">
        <f t="shared" si="400"/>
        <v>9</v>
      </c>
      <c r="BT187" s="167">
        <f t="shared" si="401"/>
        <v>9</v>
      </c>
      <c r="BW187" s="167" t="str">
        <f>D187</f>
        <v>LE 06</v>
      </c>
      <c r="BX187" s="167" t="str">
        <f>IFERROR(VLOOKUP($E187,'Pre-Assessment Estimator'!$E$11:$AB$226,'Pre-Assessment Estimator'!AB$2,FALSE),"")</f>
        <v>N/A</v>
      </c>
      <c r="BY187" s="167">
        <f>IFERROR(VLOOKUP($E187,'Pre-Assessment Estimator'!$E$11:$AI$226,'Pre-Assessment Estimator'!AI$2,FALSE),"")</f>
        <v>0</v>
      </c>
      <c r="BZ187" s="167">
        <f>IFERROR(VLOOKUP($BX187,$E$293:$H$326,F$291,FALSE),"")</f>
        <v>1</v>
      </c>
      <c r="CA187" s="167">
        <f>IFERROR(VLOOKUP($BX187,$E$293:$H$326,G$291,FALSE),"")</f>
        <v>0</v>
      </c>
      <c r="CB187" s="167"/>
      <c r="CC187" s="96" t="str">
        <f>IFERROR(VLOOKUP($BX187,$E$293:$H$326,I$291,FALSE),"")</f>
        <v/>
      </c>
    </row>
    <row r="188" spans="1:81" x14ac:dyDescent="0.25">
      <c r="A188" s="96">
        <v>180</v>
      </c>
      <c r="B188" s="96" t="str">
        <f t="shared" ref="B188" si="506">$D$187&amp;D188</f>
        <v>LE 06a</v>
      </c>
      <c r="C188" s="96" t="str">
        <f t="shared" si="344"/>
        <v>LE 06</v>
      </c>
      <c r="D188" s="188" t="s">
        <v>693</v>
      </c>
      <c r="E188" s="1248" t="s">
        <v>1043</v>
      </c>
      <c r="F188" s="775">
        <v>1</v>
      </c>
      <c r="G188" s="775">
        <v>1</v>
      </c>
      <c r="H188" s="775">
        <v>1</v>
      </c>
      <c r="I188" s="775">
        <v>1</v>
      </c>
      <c r="J188" s="775">
        <v>1</v>
      </c>
      <c r="K188" s="775">
        <v>1</v>
      </c>
      <c r="L188" s="775">
        <v>1</v>
      </c>
      <c r="M188" s="775">
        <v>1</v>
      </c>
      <c r="N188" s="775">
        <v>1</v>
      </c>
      <c r="O188" s="775">
        <v>1</v>
      </c>
      <c r="P188" s="775">
        <v>1</v>
      </c>
      <c r="Q188" s="775">
        <v>1</v>
      </c>
      <c r="R188" s="775">
        <v>1</v>
      </c>
      <c r="T188" s="221">
        <f t="shared" si="435"/>
        <v>1</v>
      </c>
      <c r="U188" s="192"/>
      <c r="V188" s="193"/>
      <c r="W188" s="193"/>
      <c r="X188" s="167"/>
      <c r="Y188" s="168"/>
      <c r="Z188" s="168">
        <f>VLOOKUP(B188,'Manuell filtrering og justering'!$A$7:$H$253,'Manuell filtrering og justering'!$H$1,FALSE)</f>
        <v>1</v>
      </c>
      <c r="AA188" s="169">
        <f t="shared" si="437"/>
        <v>0</v>
      </c>
      <c r="AB188" s="170">
        <f>IF($AC$5='Manuell filtrering og justering'!$J$2,Z188,(T188-AA188))</f>
        <v>1</v>
      </c>
      <c r="AD188" s="171">
        <f t="shared" si="438"/>
        <v>7.8947368421052634E-3</v>
      </c>
      <c r="AE188" s="171">
        <f t="shared" si="450"/>
        <v>0</v>
      </c>
      <c r="AF188" s="171">
        <f t="shared" si="451"/>
        <v>0</v>
      </c>
      <c r="AG188" s="171">
        <f t="shared" si="452"/>
        <v>0</v>
      </c>
      <c r="AI188" s="172">
        <f>IF(VLOOKUP(E188,'Pre-Assessment Estimator'!$E$11:$Z$226,'Pre-Assessment Estimator'!$G$2,FALSE)&gt;AB188,AB188,VLOOKUP(E188,'Pre-Assessment Estimator'!$E$11:$Z$226,'Pre-Assessment Estimator'!$G$2,FALSE))</f>
        <v>0</v>
      </c>
      <c r="AJ188" s="172">
        <f>IF(VLOOKUP(E188,'Pre-Assessment Estimator'!$E$11:$Z$226,'Pre-Assessment Estimator'!$N$2,FALSE)&gt;AB188,AB188,VLOOKUP(E188,'Pre-Assessment Estimator'!$E$11:$Z$226,'Pre-Assessment Estimator'!$N$2,FALSE))</f>
        <v>0</v>
      </c>
      <c r="AK188" s="172">
        <f>IF(VLOOKUP(E188,'Pre-Assessment Estimator'!$E$11:$Z$226,'Pre-Assessment Estimator'!$U$2,FALSE)&gt;AB188,AB188,VLOOKUP(E188,'Pre-Assessment Estimator'!$E$11:$Z$226,'Pre-Assessment Estimator'!$U$2,FALSE))</f>
        <v>0</v>
      </c>
      <c r="AM188" s="292"/>
      <c r="AN188" s="293"/>
      <c r="AO188" s="293"/>
      <c r="AP188" s="181">
        <v>1</v>
      </c>
      <c r="AQ188" s="186">
        <v>1</v>
      </c>
      <c r="AR188" s="139"/>
      <c r="AS188" s="291"/>
      <c r="AT188" s="181"/>
      <c r="AU188" s="181"/>
      <c r="AV188" s="181">
        <v>1</v>
      </c>
      <c r="AW188" s="186">
        <v>1</v>
      </c>
      <c r="AY188" s="188"/>
      <c r="AZ188" s="189"/>
      <c r="BA188" s="189"/>
      <c r="BB188" s="183">
        <f>IF($AB188=0,0,IF($E$6=$H$9,AV188,AP188))</f>
        <v>1</v>
      </c>
      <c r="BC188" s="183">
        <f>IF($AB188=0,0,IF($E$6=$H$9,AW188,AQ188))</f>
        <v>1</v>
      </c>
      <c r="BD188" s="182">
        <f t="shared" si="466"/>
        <v>3</v>
      </c>
      <c r="BE188" s="164" t="str">
        <f t="shared" si="444"/>
        <v>Very Good</v>
      </c>
      <c r="BF188" s="185"/>
      <c r="BG188" s="182">
        <f t="shared" si="467"/>
        <v>3</v>
      </c>
      <c r="BH188" s="164" t="str">
        <f t="shared" si="446"/>
        <v>Very Good</v>
      </c>
      <c r="BI188" s="185"/>
      <c r="BJ188" s="182">
        <f t="shared" si="468"/>
        <v>3</v>
      </c>
      <c r="BK188" s="164" t="str">
        <f t="shared" si="448"/>
        <v>Very Good</v>
      </c>
      <c r="BL188" s="185"/>
      <c r="BO188" s="167"/>
      <c r="BP188" s="167">
        <v>1</v>
      </c>
      <c r="BQ188" s="167">
        <f t="shared" si="342"/>
        <v>1</v>
      </c>
      <c r="BR188" s="167">
        <f t="shared" si="399"/>
        <v>0</v>
      </c>
      <c r="BS188" s="167">
        <f t="shared" si="400"/>
        <v>0</v>
      </c>
      <c r="BT188" s="167">
        <f t="shared" si="401"/>
        <v>0</v>
      </c>
      <c r="BW188" s="314"/>
      <c r="BX188" s="314"/>
      <c r="BY188" s="314"/>
      <c r="BZ188" s="314"/>
      <c r="CA188" s="314"/>
      <c r="CB188" s="314"/>
    </row>
    <row r="189" spans="1:81" x14ac:dyDescent="0.25">
      <c r="A189" s="96">
        <v>181</v>
      </c>
      <c r="B189" s="137" t="str">
        <f>D189</f>
        <v>LE 07</v>
      </c>
      <c r="C189" s="137" t="str">
        <f>B189</f>
        <v>LE 07</v>
      </c>
      <c r="D189" s="946" t="s">
        <v>481</v>
      </c>
      <c r="E189" s="832" t="s">
        <v>691</v>
      </c>
      <c r="F189" s="933">
        <f>SUM(F190:F191)</f>
        <v>2</v>
      </c>
      <c r="G189" s="933">
        <f t="shared" ref="G189:R189" si="507">SUM(G190:G191)</f>
        <v>2</v>
      </c>
      <c r="H189" s="933">
        <f t="shared" si="507"/>
        <v>2</v>
      </c>
      <c r="I189" s="933">
        <f t="shared" si="507"/>
        <v>2</v>
      </c>
      <c r="J189" s="933">
        <f t="shared" si="507"/>
        <v>2</v>
      </c>
      <c r="K189" s="933">
        <f t="shared" si="507"/>
        <v>2</v>
      </c>
      <c r="L189" s="933">
        <f t="shared" si="507"/>
        <v>2</v>
      </c>
      <c r="M189" s="933">
        <f t="shared" si="507"/>
        <v>2</v>
      </c>
      <c r="N189" s="933">
        <f t="shared" si="507"/>
        <v>2</v>
      </c>
      <c r="O189" s="933">
        <f t="shared" si="507"/>
        <v>2</v>
      </c>
      <c r="P189" s="933">
        <f t="shared" si="507"/>
        <v>2</v>
      </c>
      <c r="Q189" s="933">
        <f t="shared" ref="Q189" si="508">SUM(Q190:Q191)</f>
        <v>2</v>
      </c>
      <c r="R189" s="933">
        <f t="shared" si="507"/>
        <v>2</v>
      </c>
      <c r="T189" s="963">
        <f t="shared" si="435"/>
        <v>2</v>
      </c>
      <c r="U189" s="728"/>
      <c r="V189" s="964"/>
      <c r="W189" s="964"/>
      <c r="X189" s="230">
        <f>'Manuell filtrering og justering'!E81</f>
        <v>0</v>
      </c>
      <c r="Y189" s="230"/>
      <c r="Z189" s="958">
        <f t="shared" ref="Z189" si="509">SUM(Z190:Z191)</f>
        <v>2</v>
      </c>
      <c r="AA189" s="963">
        <f t="shared" si="437"/>
        <v>0</v>
      </c>
      <c r="AB189" s="1066">
        <f t="shared" ref="AB189" si="510">SUM(AB190:AB191)</f>
        <v>2</v>
      </c>
      <c r="AD189" s="171">
        <f t="shared" si="438"/>
        <v>1.5789473684210527E-2</v>
      </c>
      <c r="AE189" s="921">
        <f>SUM(AE190:AE191)</f>
        <v>0</v>
      </c>
      <c r="AF189" s="921">
        <f t="shared" ref="AF189:AG189" si="511">SUM(AF190:AF191)</f>
        <v>0</v>
      </c>
      <c r="AG189" s="921">
        <f t="shared" si="511"/>
        <v>0</v>
      </c>
      <c r="AI189" s="958">
        <f t="shared" ref="AI189" si="512">SUM(AI190:AI191)</f>
        <v>0</v>
      </c>
      <c r="AJ189" s="958">
        <f t="shared" ref="AJ189" si="513">SUM(AJ190:AJ191)</f>
        <v>0</v>
      </c>
      <c r="AK189" s="958">
        <f t="shared" ref="AK189" si="514">SUM(AK190:AK191)</f>
        <v>0</v>
      </c>
      <c r="AM189" s="292"/>
      <c r="AN189" s="293"/>
      <c r="AO189" s="293"/>
      <c r="AP189" s="293"/>
      <c r="AQ189" s="294"/>
      <c r="AR189" s="139"/>
      <c r="AS189" s="292"/>
      <c r="AT189" s="293"/>
      <c r="AU189" s="293"/>
      <c r="AV189" s="293"/>
      <c r="AW189" s="294"/>
      <c r="AY189" s="188"/>
      <c r="AZ189" s="189"/>
      <c r="BA189" s="189"/>
      <c r="BB189" s="189"/>
      <c r="BC189" s="190"/>
      <c r="BD189" s="182">
        <f t="shared" si="466"/>
        <v>9</v>
      </c>
      <c r="BE189" s="164" t="str">
        <f t="shared" si="444"/>
        <v>N/A</v>
      </c>
      <c r="BF189" s="185"/>
      <c r="BG189" s="182">
        <f t="shared" si="467"/>
        <v>9</v>
      </c>
      <c r="BH189" s="164" t="str">
        <f t="shared" si="446"/>
        <v>N/A</v>
      </c>
      <c r="BI189" s="185"/>
      <c r="BJ189" s="182">
        <f t="shared" si="468"/>
        <v>9</v>
      </c>
      <c r="BK189" s="164" t="str">
        <f t="shared" si="448"/>
        <v>N/A</v>
      </c>
      <c r="BL189" s="185"/>
      <c r="BO189" s="167"/>
      <c r="BP189" s="167"/>
      <c r="BQ189" s="167" t="str">
        <f t="shared" si="342"/>
        <v/>
      </c>
      <c r="BR189" s="167">
        <f t="shared" si="399"/>
        <v>9</v>
      </c>
      <c r="BS189" s="167">
        <f t="shared" si="400"/>
        <v>9</v>
      </c>
      <c r="BT189" s="167">
        <f t="shared" si="401"/>
        <v>9</v>
      </c>
      <c r="BW189" s="314" t="str">
        <f>D189</f>
        <v>LE 07</v>
      </c>
      <c r="BX189" s="314"/>
      <c r="BY189" s="314"/>
      <c r="BZ189" s="314"/>
      <c r="CA189" s="314"/>
      <c r="CB189" s="314"/>
    </row>
    <row r="190" spans="1:81" x14ac:dyDescent="0.25">
      <c r="A190" s="96">
        <v>182</v>
      </c>
      <c r="C190" s="96" t="str">
        <f t="shared" si="344"/>
        <v>LE 07</v>
      </c>
      <c r="D190" s="188" t="s">
        <v>693</v>
      </c>
      <c r="E190" s="940" t="s">
        <v>984</v>
      </c>
      <c r="F190" s="775"/>
      <c r="G190" s="775"/>
      <c r="H190" s="775"/>
      <c r="I190" s="775"/>
      <c r="J190" s="775"/>
      <c r="K190" s="775"/>
      <c r="L190" s="775"/>
      <c r="M190" s="775"/>
      <c r="N190" s="775"/>
      <c r="O190" s="775"/>
      <c r="P190" s="775"/>
      <c r="Q190" s="775"/>
      <c r="R190" s="775"/>
      <c r="T190" s="221">
        <f t="shared" si="435"/>
        <v>0</v>
      </c>
      <c r="U190" s="192"/>
      <c r="V190" s="193"/>
      <c r="W190" s="193"/>
      <c r="X190" s="167"/>
      <c r="Y190" s="168"/>
      <c r="Z190" s="168"/>
      <c r="AA190" s="169">
        <f t="shared" si="437"/>
        <v>0</v>
      </c>
      <c r="AB190" s="170">
        <f>IF($AC$5='Manuell filtrering og justering'!$J$2,Z190,(T190-AA190))</f>
        <v>0</v>
      </c>
      <c r="AD190" s="171">
        <f t="shared" si="438"/>
        <v>0</v>
      </c>
      <c r="AE190" s="171">
        <f t="shared" si="450"/>
        <v>0</v>
      </c>
      <c r="AF190" s="171">
        <f t="shared" si="451"/>
        <v>0</v>
      </c>
      <c r="AG190" s="171">
        <f t="shared" si="452"/>
        <v>0</v>
      </c>
      <c r="AI190" s="172">
        <f>IF(VLOOKUP(E190,'Pre-Assessment Estimator'!$E$11:$Z$226,'Pre-Assessment Estimator'!$G$2,FALSE)&gt;AB190,AB190,VLOOKUP(E190,'Pre-Assessment Estimator'!$E$11:$Z$226,'Pre-Assessment Estimator'!$G$2,FALSE))</f>
        <v>0</v>
      </c>
      <c r="AJ190" s="172">
        <f>IF(VLOOKUP(E190,'Pre-Assessment Estimator'!$E$11:$Z$226,'Pre-Assessment Estimator'!$N$2,FALSE)&gt;AB190,AB190,VLOOKUP(E190,'Pre-Assessment Estimator'!$E$11:$Z$226,'Pre-Assessment Estimator'!$N$2,FALSE))</f>
        <v>0</v>
      </c>
      <c r="AK190" s="172">
        <f>IF(VLOOKUP(E190,'Pre-Assessment Estimator'!$E$11:$Z$226,'Pre-Assessment Estimator'!$U$2,FALSE)&gt;AB190,AB190,VLOOKUP(E190,'Pre-Assessment Estimator'!$E$11:$Z$226,'Pre-Assessment Estimator'!$U$2,FALSE))</f>
        <v>0</v>
      </c>
      <c r="AM190" s="850"/>
      <c r="AN190" s="851"/>
      <c r="AO190" s="851"/>
      <c r="AP190" s="851"/>
      <c r="AQ190" s="843"/>
      <c r="AR190" s="139"/>
      <c r="AS190" s="850"/>
      <c r="AT190" s="851"/>
      <c r="AU190" s="851"/>
      <c r="AV190" s="851"/>
      <c r="AW190" s="843"/>
      <c r="AY190" s="731"/>
      <c r="AZ190" s="733"/>
      <c r="BA190" s="733"/>
      <c r="BB190" s="733"/>
      <c r="BC190" s="852"/>
      <c r="BD190" s="182">
        <f t="shared" si="466"/>
        <v>9</v>
      </c>
      <c r="BE190" s="164" t="str">
        <f t="shared" si="444"/>
        <v>N/A</v>
      </c>
      <c r="BF190" s="185"/>
      <c r="BG190" s="182">
        <f t="shared" si="467"/>
        <v>9</v>
      </c>
      <c r="BH190" s="164" t="str">
        <f t="shared" si="446"/>
        <v>N/A</v>
      </c>
      <c r="BI190" s="185"/>
      <c r="BJ190" s="182">
        <f t="shared" si="468"/>
        <v>9</v>
      </c>
      <c r="BK190" s="164" t="str">
        <f t="shared" si="448"/>
        <v>N/A</v>
      </c>
      <c r="BL190" s="847"/>
      <c r="BO190" s="167"/>
      <c r="BP190" s="167"/>
      <c r="BQ190" s="167" t="str">
        <f t="shared" si="342"/>
        <v/>
      </c>
      <c r="BR190" s="167">
        <f t="shared" si="399"/>
        <v>9</v>
      </c>
      <c r="BS190" s="167">
        <f t="shared" si="400"/>
        <v>9</v>
      </c>
      <c r="BT190" s="167">
        <f t="shared" si="401"/>
        <v>9</v>
      </c>
      <c r="BW190" s="314"/>
      <c r="BX190" s="314"/>
      <c r="BY190" s="314"/>
      <c r="BZ190" s="314"/>
      <c r="CA190" s="314"/>
      <c r="CB190" s="314"/>
    </row>
    <row r="191" spans="1:81" x14ac:dyDescent="0.25">
      <c r="A191" s="96">
        <v>183</v>
      </c>
      <c r="B191" s="96" t="str">
        <f t="shared" ref="B191" si="515">$D$189&amp;D191</f>
        <v>LE 07b</v>
      </c>
      <c r="C191" s="96" t="str">
        <f t="shared" si="344"/>
        <v>LE 07</v>
      </c>
      <c r="D191" s="188" t="s">
        <v>696</v>
      </c>
      <c r="E191" s="1107" t="s">
        <v>686</v>
      </c>
      <c r="F191" s="775">
        <v>2</v>
      </c>
      <c r="G191" s="775">
        <v>2</v>
      </c>
      <c r="H191" s="775">
        <v>2</v>
      </c>
      <c r="I191" s="775">
        <v>2</v>
      </c>
      <c r="J191" s="775">
        <v>2</v>
      </c>
      <c r="K191" s="775">
        <v>2</v>
      </c>
      <c r="L191" s="775">
        <v>2</v>
      </c>
      <c r="M191" s="775">
        <v>2</v>
      </c>
      <c r="N191" s="775">
        <v>2</v>
      </c>
      <c r="O191" s="775">
        <v>2</v>
      </c>
      <c r="P191" s="775">
        <v>2</v>
      </c>
      <c r="Q191" s="775">
        <v>2</v>
      </c>
      <c r="R191" s="775">
        <v>2</v>
      </c>
      <c r="T191" s="221">
        <f t="shared" si="435"/>
        <v>2</v>
      </c>
      <c r="U191" s="192"/>
      <c r="V191" s="193"/>
      <c r="W191" s="193"/>
      <c r="X191" s="167"/>
      <c r="Y191" s="168"/>
      <c r="Z191" s="168">
        <f>VLOOKUP(B191,'Manuell filtrering og justering'!$A$7:$H$253,'Manuell filtrering og justering'!$H$1,FALSE)</f>
        <v>2</v>
      </c>
      <c r="AA191" s="169">
        <f t="shared" si="437"/>
        <v>0</v>
      </c>
      <c r="AB191" s="170">
        <f>IF($AC$5='Manuell filtrering og justering'!$J$2,Z191,(T191-AA191))</f>
        <v>2</v>
      </c>
      <c r="AD191" s="171">
        <f t="shared" si="438"/>
        <v>1.5789473684210527E-2</v>
      </c>
      <c r="AE191" s="171">
        <f t="shared" si="450"/>
        <v>0</v>
      </c>
      <c r="AF191" s="171">
        <f t="shared" si="451"/>
        <v>0</v>
      </c>
      <c r="AG191" s="171">
        <f t="shared" si="452"/>
        <v>0</v>
      </c>
      <c r="AI191" s="1067">
        <f>IF(AI247=AD_no,0,IF(VLOOKUP(E191,'Pre-Assessment Estimator'!$E$11:$Z$226,'Pre-Assessment Estimator'!$G$2,FALSE)&gt;AB191,AB191,VLOOKUP(E191,'Pre-Assessment Estimator'!$E$11:$Z$226,'Pre-Assessment Estimator'!$G$2,FALSE)))</f>
        <v>0</v>
      </c>
      <c r="AJ191" s="1067">
        <f>IF(AJ247=AD_no,0,IF(VLOOKUP(E191,'Pre-Assessment Estimator'!$E$11:$Z$226,'Pre-Assessment Estimator'!$N$2,FALSE)&gt;AB191,AB191,VLOOKUP(E191,'Pre-Assessment Estimator'!$E$11:$Z$226,'Pre-Assessment Estimator'!$N$2,FALSE)))</f>
        <v>0</v>
      </c>
      <c r="AK191" s="1067">
        <f>IF(AK247=AD_no,0,IF(VLOOKUP(E191,'Pre-Assessment Estimator'!$E$11:$Z$226,'Pre-Assessment Estimator'!$U$2,FALSE)&gt;AB191,AB191,VLOOKUP(E191,'Pre-Assessment Estimator'!$E$11:$Z$226,'Pre-Assessment Estimator'!$U$2,FALSE)))</f>
        <v>0</v>
      </c>
      <c r="AM191" s="850"/>
      <c r="AN191" s="851"/>
      <c r="AO191" s="851"/>
      <c r="AP191" s="851"/>
      <c r="AQ191" s="843"/>
      <c r="AR191" s="139"/>
      <c r="AS191" s="850"/>
      <c r="AT191" s="851"/>
      <c r="AU191" s="851"/>
      <c r="AV191" s="851"/>
      <c r="AW191" s="843"/>
      <c r="AY191" s="731"/>
      <c r="AZ191" s="733"/>
      <c r="BA191" s="733"/>
      <c r="BB191" s="733"/>
      <c r="BC191" s="852"/>
      <c r="BD191" s="182">
        <f t="shared" si="466"/>
        <v>9</v>
      </c>
      <c r="BE191" s="164" t="str">
        <f t="shared" si="444"/>
        <v>N/A</v>
      </c>
      <c r="BF191" s="185"/>
      <c r="BG191" s="182">
        <f t="shared" si="467"/>
        <v>9</v>
      </c>
      <c r="BH191" s="164" t="str">
        <f t="shared" si="446"/>
        <v>N/A</v>
      </c>
      <c r="BI191" s="185"/>
      <c r="BJ191" s="182">
        <f t="shared" si="468"/>
        <v>9</v>
      </c>
      <c r="BK191" s="164" t="str">
        <f t="shared" si="448"/>
        <v>N/A</v>
      </c>
      <c r="BL191" s="847"/>
      <c r="BO191" s="167"/>
      <c r="BP191" s="167"/>
      <c r="BQ191" s="167" t="str">
        <f t="shared" si="342"/>
        <v/>
      </c>
      <c r="BR191" s="167">
        <f t="shared" si="399"/>
        <v>9</v>
      </c>
      <c r="BS191" s="167">
        <f t="shared" si="400"/>
        <v>9</v>
      </c>
      <c r="BT191" s="167">
        <f t="shared" si="401"/>
        <v>9</v>
      </c>
      <c r="BW191" s="314"/>
      <c r="BX191" s="314"/>
      <c r="BY191" s="314"/>
      <c r="BZ191" s="314"/>
      <c r="CA191" s="314"/>
      <c r="CB191" s="314"/>
    </row>
    <row r="192" spans="1:81" ht="15.75" thickBot="1" x14ac:dyDescent="0.3">
      <c r="A192" s="96">
        <v>184</v>
      </c>
      <c r="B192" s="137" t="str">
        <f>D192</f>
        <v>LE 08</v>
      </c>
      <c r="C192" s="137" t="str">
        <f>B192</f>
        <v>LE 08</v>
      </c>
      <c r="D192" s="946" t="s">
        <v>482</v>
      </c>
      <c r="E192" s="832" t="s">
        <v>692</v>
      </c>
      <c r="F192" s="933">
        <f>SUM(F193:F196)</f>
        <v>3</v>
      </c>
      <c r="G192" s="933">
        <f t="shared" ref="G192:R192" si="516">SUM(G193:G196)</f>
        <v>3</v>
      </c>
      <c r="H192" s="933">
        <f t="shared" si="516"/>
        <v>3</v>
      </c>
      <c r="I192" s="933">
        <f t="shared" si="516"/>
        <v>3</v>
      </c>
      <c r="J192" s="933">
        <f t="shared" si="516"/>
        <v>3</v>
      </c>
      <c r="K192" s="933">
        <f t="shared" si="516"/>
        <v>3</v>
      </c>
      <c r="L192" s="933">
        <f t="shared" si="516"/>
        <v>3</v>
      </c>
      <c r="M192" s="933">
        <f t="shared" si="516"/>
        <v>3</v>
      </c>
      <c r="N192" s="933">
        <f t="shared" si="516"/>
        <v>3</v>
      </c>
      <c r="O192" s="933">
        <f t="shared" si="516"/>
        <v>3</v>
      </c>
      <c r="P192" s="933">
        <f t="shared" si="516"/>
        <v>3</v>
      </c>
      <c r="Q192" s="933">
        <f t="shared" ref="Q192" si="517">SUM(Q193:Q196)</f>
        <v>3</v>
      </c>
      <c r="R192" s="933">
        <f t="shared" si="516"/>
        <v>3</v>
      </c>
      <c r="T192" s="963">
        <f t="shared" si="435"/>
        <v>3</v>
      </c>
      <c r="U192" s="728"/>
      <c r="V192" s="964"/>
      <c r="W192" s="964"/>
      <c r="X192" s="230">
        <f>'Manuell filtrering og justering'!E82</f>
        <v>0</v>
      </c>
      <c r="Y192" s="230"/>
      <c r="Z192" s="958">
        <f t="shared" ref="Z192" si="518">SUM(Z193:Z196)</f>
        <v>2</v>
      </c>
      <c r="AA192" s="963">
        <f t="shared" si="437"/>
        <v>0</v>
      </c>
      <c r="AB192" s="1066">
        <f>SUM(AB193:AB196)</f>
        <v>3</v>
      </c>
      <c r="AD192" s="171">
        <f t="shared" si="438"/>
        <v>2.368421052631579E-2</v>
      </c>
      <c r="AE192" s="921">
        <f>SUM(AE193:AE196)</f>
        <v>0</v>
      </c>
      <c r="AF192" s="921">
        <f t="shared" ref="AF192" si="519">SUM(AF193:AF196)</f>
        <v>0</v>
      </c>
      <c r="AG192" s="921">
        <f t="shared" ref="AG192" si="520">SUM(AG193:AG196)</f>
        <v>0</v>
      </c>
      <c r="AI192" s="958">
        <f t="shared" ref="AI192" si="521">SUM(AI193:AI196)</f>
        <v>0</v>
      </c>
      <c r="AJ192" s="958">
        <f t="shared" ref="AJ192" si="522">SUM(AJ193:AJ196)</f>
        <v>0</v>
      </c>
      <c r="AK192" s="958">
        <f t="shared" ref="AK192" si="523">SUM(AK193:AK196)</f>
        <v>0</v>
      </c>
      <c r="AM192" s="295"/>
      <c r="AN192" s="296"/>
      <c r="AO192" s="296"/>
      <c r="AP192" s="296"/>
      <c r="AQ192" s="297"/>
      <c r="AR192" s="139"/>
      <c r="AS192" s="295"/>
      <c r="AT192" s="296"/>
      <c r="AU192" s="296"/>
      <c r="AV192" s="296"/>
      <c r="AW192" s="297"/>
      <c r="AY192" s="194"/>
      <c r="AZ192" s="196"/>
      <c r="BA192" s="196"/>
      <c r="BB192" s="196"/>
      <c r="BC192" s="197"/>
      <c r="BD192" s="198">
        <f t="shared" ref="BD192:BD196" si="524">IF(BC192=0,9,IF(AI192&gt;=BC192,5,IF(AI192&gt;=BB192,4,IF(AI192&gt;=BA192,3,IF(AI192&gt;=AZ192,2,IF(AI192&lt;AY192,0,1))))))</f>
        <v>9</v>
      </c>
      <c r="BE192" s="164" t="str">
        <f t="shared" si="444"/>
        <v>N/A</v>
      </c>
      <c r="BF192" s="200"/>
      <c r="BG192" s="198">
        <f t="shared" ref="BG192:BG196" si="525">IF(BC192=0,9,IF(AJ192&gt;=BC192,5,IF(AJ192&gt;=BB192,4,IF(AJ192&gt;=BA192,3,IF(AJ192&gt;=AZ192,2,IF(AJ192&lt;AY192,0,1))))))</f>
        <v>9</v>
      </c>
      <c r="BH192" s="164" t="str">
        <f t="shared" si="446"/>
        <v>N/A</v>
      </c>
      <c r="BI192" s="200"/>
      <c r="BJ192" s="198">
        <f t="shared" ref="BJ192:BJ196" si="526">IF(BC192=0,9,IF(AK192&gt;=BC192,5,IF(AK192&gt;=BB192,4,IF(AK192&gt;=BA192,3,IF(AK192&gt;=AZ192,2,IF(AK192&lt;AY192,0,1))))))</f>
        <v>9</v>
      </c>
      <c r="BK192" s="164" t="str">
        <f t="shared" si="448"/>
        <v>N/A</v>
      </c>
      <c r="BL192" s="200"/>
      <c r="BO192" s="167"/>
      <c r="BP192" s="167"/>
      <c r="BQ192" s="167" t="str">
        <f t="shared" si="342"/>
        <v/>
      </c>
      <c r="BR192" s="167">
        <f t="shared" si="399"/>
        <v>9</v>
      </c>
      <c r="BS192" s="167">
        <f t="shared" si="400"/>
        <v>9</v>
      </c>
      <c r="BT192" s="167">
        <f t="shared" si="401"/>
        <v>9</v>
      </c>
      <c r="BW192" s="314" t="str">
        <f>D192</f>
        <v>LE 08</v>
      </c>
      <c r="BX192" s="314"/>
      <c r="BY192" s="314"/>
      <c r="BZ192" s="314"/>
      <c r="CA192" s="314"/>
      <c r="CB192" s="314"/>
    </row>
    <row r="193" spans="1:85" x14ac:dyDescent="0.25">
      <c r="A193" s="96">
        <v>185</v>
      </c>
      <c r="C193" s="96" t="str">
        <f t="shared" si="344"/>
        <v>LE 08</v>
      </c>
      <c r="D193" s="188" t="s">
        <v>693</v>
      </c>
      <c r="E193" s="940" t="s">
        <v>985</v>
      </c>
      <c r="F193" s="775"/>
      <c r="G193" s="775"/>
      <c r="H193" s="775"/>
      <c r="I193" s="775"/>
      <c r="J193" s="775"/>
      <c r="K193" s="775"/>
      <c r="L193" s="775"/>
      <c r="M193" s="775"/>
      <c r="N193" s="775"/>
      <c r="O193" s="775"/>
      <c r="P193" s="775"/>
      <c r="Q193" s="775"/>
      <c r="R193" s="775"/>
      <c r="T193" s="221">
        <f t="shared" si="435"/>
        <v>0</v>
      </c>
      <c r="U193" s="192"/>
      <c r="V193" s="193"/>
      <c r="W193" s="193"/>
      <c r="X193" s="193"/>
      <c r="Y193" s="1164"/>
      <c r="Z193" s="168"/>
      <c r="AA193" s="169">
        <f t="shared" si="437"/>
        <v>0</v>
      </c>
      <c r="AB193" s="170">
        <f>IF($AC$5='Manuell filtrering og justering'!$J$2,Z193,(T193-AA193))</f>
        <v>0</v>
      </c>
      <c r="AD193" s="171">
        <f t="shared" si="438"/>
        <v>0</v>
      </c>
      <c r="AE193" s="171">
        <f t="shared" si="450"/>
        <v>0</v>
      </c>
      <c r="AF193" s="171">
        <f t="shared" si="451"/>
        <v>0</v>
      </c>
      <c r="AG193" s="171">
        <f t="shared" si="452"/>
        <v>0</v>
      </c>
      <c r="AI193" s="172">
        <f>IF(VLOOKUP(E193,'Pre-Assessment Estimator'!$E$11:$Z$226,'Pre-Assessment Estimator'!$G$2,FALSE)&gt;AB193,AB193,VLOOKUP(E193,'Pre-Assessment Estimator'!$E$11:$Z$226,'Pre-Assessment Estimator'!$G$2,FALSE))</f>
        <v>0</v>
      </c>
      <c r="AJ193" s="172">
        <f>IF(VLOOKUP(E193,'Pre-Assessment Estimator'!$E$11:$Z$226,'Pre-Assessment Estimator'!$N$2,FALSE)&gt;AB193,AB193,VLOOKUP(E193,'Pre-Assessment Estimator'!$E$11:$Z$226,'Pre-Assessment Estimator'!$N$2,FALSE))</f>
        <v>0</v>
      </c>
      <c r="AK193" s="172">
        <f>IF(VLOOKUP(E193,'Pre-Assessment Estimator'!$E$11:$Z$226,'Pre-Assessment Estimator'!$U$2,FALSE)&gt;AB193,AB193,VLOOKUP(E193,'Pre-Assessment Estimator'!$E$11:$Z$226,'Pre-Assessment Estimator'!$U$2,FALSE))</f>
        <v>0</v>
      </c>
      <c r="AM193" s="850"/>
      <c r="AN193" s="851"/>
      <c r="AO193" s="851"/>
      <c r="AP193" s="851"/>
      <c r="AQ193" s="843"/>
      <c r="AR193" s="139"/>
      <c r="AS193" s="850"/>
      <c r="AT193" s="851"/>
      <c r="AU193" s="851"/>
      <c r="AV193" s="851"/>
      <c r="AW193" s="843"/>
      <c r="AY193" s="731"/>
      <c r="AZ193" s="733"/>
      <c r="BA193" s="733"/>
      <c r="BB193" s="733"/>
      <c r="BC193" s="852"/>
      <c r="BD193" s="182">
        <f t="shared" si="524"/>
        <v>9</v>
      </c>
      <c r="BE193" s="164" t="str">
        <f t="shared" si="444"/>
        <v>N/A</v>
      </c>
      <c r="BF193" s="185"/>
      <c r="BG193" s="182">
        <f t="shared" si="525"/>
        <v>9</v>
      </c>
      <c r="BH193" s="164" t="str">
        <f t="shared" si="446"/>
        <v>N/A</v>
      </c>
      <c r="BI193" s="185"/>
      <c r="BJ193" s="182">
        <f t="shared" si="526"/>
        <v>9</v>
      </c>
      <c r="BK193" s="164" t="str">
        <f t="shared" si="448"/>
        <v>N/A</v>
      </c>
      <c r="BL193" s="847"/>
      <c r="BO193" s="167"/>
      <c r="BP193" s="167"/>
      <c r="BQ193" s="167" t="str">
        <f t="shared" si="342"/>
        <v/>
      </c>
      <c r="BR193" s="167">
        <f t="shared" si="399"/>
        <v>9</v>
      </c>
      <c r="BS193" s="167">
        <f t="shared" si="400"/>
        <v>9</v>
      </c>
      <c r="BT193" s="167">
        <f t="shared" si="401"/>
        <v>9</v>
      </c>
      <c r="BW193" s="314"/>
      <c r="BX193" s="314"/>
      <c r="BY193" s="314"/>
      <c r="BZ193" s="314"/>
      <c r="CA193" s="314"/>
      <c r="CB193" s="314"/>
    </row>
    <row r="194" spans="1:85" x14ac:dyDescent="0.25">
      <c r="A194" s="96">
        <v>186</v>
      </c>
      <c r="B194" s="96" t="str">
        <f t="shared" ref="B194:B196" si="527">$D$192&amp;D194</f>
        <v>LE 08b</v>
      </c>
      <c r="C194" s="96" t="str">
        <f t="shared" si="344"/>
        <v>LE 08</v>
      </c>
      <c r="D194" s="188" t="s">
        <v>696</v>
      </c>
      <c r="E194" s="1107" t="s">
        <v>960</v>
      </c>
      <c r="F194" s="775">
        <v>1</v>
      </c>
      <c r="G194" s="775">
        <v>1</v>
      </c>
      <c r="H194" s="775">
        <v>1</v>
      </c>
      <c r="I194" s="775">
        <v>1</v>
      </c>
      <c r="J194" s="775">
        <v>1</v>
      </c>
      <c r="K194" s="775">
        <v>1</v>
      </c>
      <c r="L194" s="775">
        <v>1</v>
      </c>
      <c r="M194" s="775">
        <v>1</v>
      </c>
      <c r="N194" s="775">
        <v>1</v>
      </c>
      <c r="O194" s="775">
        <v>1</v>
      </c>
      <c r="P194" s="775">
        <v>1</v>
      </c>
      <c r="Q194" s="775">
        <v>1</v>
      </c>
      <c r="R194" s="775">
        <v>1</v>
      </c>
      <c r="T194" s="221">
        <f t="shared" si="435"/>
        <v>1</v>
      </c>
      <c r="U194" s="192"/>
      <c r="V194" s="193"/>
      <c r="W194" s="193"/>
      <c r="X194" s="193"/>
      <c r="Y194" s="1164"/>
      <c r="Z194" s="168">
        <f>VLOOKUP(B194,'Manuell filtrering og justering'!$A$7:$H$253,'Manuell filtrering og justering'!$H$1,FALSE)</f>
        <v>1</v>
      </c>
      <c r="AA194" s="169">
        <f t="shared" si="437"/>
        <v>0</v>
      </c>
      <c r="AB194" s="170">
        <f>IF($AC$5='Manuell filtrering og justering'!$J$2,Z194,(T194-AA194))</f>
        <v>1</v>
      </c>
      <c r="AD194" s="171">
        <f t="shared" si="438"/>
        <v>7.8947368421052634E-3</v>
      </c>
      <c r="AE194" s="171">
        <f t="shared" si="450"/>
        <v>0</v>
      </c>
      <c r="AF194" s="171">
        <f t="shared" si="451"/>
        <v>0</v>
      </c>
      <c r="AG194" s="171">
        <f t="shared" si="452"/>
        <v>0</v>
      </c>
      <c r="AI194" s="1067">
        <f>IF(AI248=AD_no,0,IF(VLOOKUP(E194,'Pre-Assessment Estimator'!$E$11:$Z$226,'Pre-Assessment Estimator'!$G$2,FALSE)&gt;AB194,AB194,VLOOKUP(E194,'Pre-Assessment Estimator'!$E$11:$Z$226,'Pre-Assessment Estimator'!$G$2,FALSE)))</f>
        <v>0</v>
      </c>
      <c r="AJ194" s="1067">
        <f>IF(AJ248=AD_no,0,IF(VLOOKUP(E194,'Pre-Assessment Estimator'!$E$11:$Z$226,'Pre-Assessment Estimator'!$N$2,FALSE)&gt;AB194,AB194,VLOOKUP(E194,'Pre-Assessment Estimator'!$E$11:$Z$226,'Pre-Assessment Estimator'!$N$2,FALSE)))</f>
        <v>0</v>
      </c>
      <c r="AK194" s="1067">
        <f>IF(AK248=AD_no,0,IF(VLOOKUP(E194,'Pre-Assessment Estimator'!$E$11:$Z$226,'Pre-Assessment Estimator'!$U$2,FALSE)&gt;AB194,AB194,VLOOKUP(E194,'Pre-Assessment Estimator'!$E$11:$Z$226,'Pre-Assessment Estimator'!$U$2,FALSE)))</f>
        <v>0</v>
      </c>
      <c r="AM194" s="850"/>
      <c r="AN194" s="851"/>
      <c r="AO194" s="851"/>
      <c r="AP194" s="851"/>
      <c r="AQ194" s="843"/>
      <c r="AR194" s="139"/>
      <c r="AS194" s="850"/>
      <c r="AT194" s="851"/>
      <c r="AU194" s="851"/>
      <c r="AV194" s="851"/>
      <c r="AW194" s="843"/>
      <c r="AY194" s="731"/>
      <c r="AZ194" s="733"/>
      <c r="BA194" s="733"/>
      <c r="BB194" s="733"/>
      <c r="BC194" s="852"/>
      <c r="BD194" s="182">
        <f t="shared" si="524"/>
        <v>9</v>
      </c>
      <c r="BE194" s="164" t="str">
        <f t="shared" si="444"/>
        <v>N/A</v>
      </c>
      <c r="BF194" s="185"/>
      <c r="BG194" s="182">
        <f t="shared" si="525"/>
        <v>9</v>
      </c>
      <c r="BH194" s="164" t="str">
        <f t="shared" si="446"/>
        <v>N/A</v>
      </c>
      <c r="BI194" s="185"/>
      <c r="BJ194" s="182">
        <f t="shared" si="526"/>
        <v>9</v>
      </c>
      <c r="BK194" s="164" t="str">
        <f t="shared" si="448"/>
        <v>N/A</v>
      </c>
      <c r="BL194" s="847"/>
      <c r="BO194" s="167"/>
      <c r="BP194" s="167"/>
      <c r="BQ194" s="167" t="str">
        <f t="shared" si="342"/>
        <v/>
      </c>
      <c r="BR194" s="167">
        <f t="shared" si="399"/>
        <v>9</v>
      </c>
      <c r="BS194" s="167">
        <f t="shared" si="400"/>
        <v>9</v>
      </c>
      <c r="BT194" s="167">
        <f t="shared" si="401"/>
        <v>9</v>
      </c>
      <c r="BW194" s="314"/>
      <c r="BX194" s="314"/>
      <c r="BY194" s="314"/>
      <c r="BZ194" s="314"/>
      <c r="CA194" s="314"/>
      <c r="CB194" s="314"/>
    </row>
    <row r="195" spans="1:85" x14ac:dyDescent="0.25">
      <c r="A195" s="96">
        <v>187</v>
      </c>
      <c r="B195" s="96" t="str">
        <f t="shared" si="527"/>
        <v>LE 08c</v>
      </c>
      <c r="C195" s="96" t="str">
        <f t="shared" si="344"/>
        <v>LE 08</v>
      </c>
      <c r="D195" s="731" t="s">
        <v>697</v>
      </c>
      <c r="E195" s="1127" t="s">
        <v>688</v>
      </c>
      <c r="F195" s="941">
        <v>1</v>
      </c>
      <c r="G195" s="941">
        <v>1</v>
      </c>
      <c r="H195" s="941">
        <v>1</v>
      </c>
      <c r="I195" s="941">
        <v>1</v>
      </c>
      <c r="J195" s="941">
        <v>1</v>
      </c>
      <c r="K195" s="941">
        <v>1</v>
      </c>
      <c r="L195" s="941">
        <v>1</v>
      </c>
      <c r="M195" s="941">
        <v>1</v>
      </c>
      <c r="N195" s="941">
        <v>1</v>
      </c>
      <c r="O195" s="941">
        <v>1</v>
      </c>
      <c r="P195" s="941">
        <v>1</v>
      </c>
      <c r="Q195" s="941">
        <v>1</v>
      </c>
      <c r="R195" s="941">
        <v>1</v>
      </c>
      <c r="T195" s="221">
        <f t="shared" si="435"/>
        <v>1</v>
      </c>
      <c r="U195" s="192"/>
      <c r="V195" s="193"/>
      <c r="W195" s="193"/>
      <c r="X195" s="193"/>
      <c r="Y195" s="1164"/>
      <c r="Z195" s="168">
        <f>VLOOKUP(B195,'Manuell filtrering og justering'!$A$7:$H$253,'Manuell filtrering og justering'!$H$1,FALSE)</f>
        <v>1</v>
      </c>
      <c r="AA195" s="169">
        <f t="shared" si="437"/>
        <v>0</v>
      </c>
      <c r="AB195" s="170">
        <f>IF($AC$5='Manuell filtrering og justering'!$J$2,Z195,(T195-AA195))</f>
        <v>1</v>
      </c>
      <c r="AD195" s="171">
        <f t="shared" ref="AD195" si="528">(LE_Weight/LE_Credits)*AB195</f>
        <v>7.8947368421052634E-3</v>
      </c>
      <c r="AE195" s="171">
        <f t="shared" ref="AE195" si="529">IF(AB195=0,0,(AD195/AB195)*AI195)</f>
        <v>0</v>
      </c>
      <c r="AF195" s="171">
        <f t="shared" ref="AF195" si="530">IF(AB195=0,0,(AD195/AB195)*AJ195)</f>
        <v>0</v>
      </c>
      <c r="AG195" s="171">
        <f t="shared" ref="AG195" si="531">IF(AB195=0,0,(AD195/AB195)*AK195)</f>
        <v>0</v>
      </c>
      <c r="AI195" s="1067">
        <f>IF(AI248=AD_no,0,IF(VLOOKUP(E195,'Pre-Assessment Estimator'!$E$11:$Z$226,'Pre-Assessment Estimator'!$G$2,FALSE)&gt;AB195,AB195,VLOOKUP(E195,'Pre-Assessment Estimator'!$E$11:$Z$226,'Pre-Assessment Estimator'!$G$2,FALSE)))</f>
        <v>0</v>
      </c>
      <c r="AJ195" s="1067">
        <f>IF(AJ248=AD_no,0,IF(VLOOKUP(E195,'Pre-Assessment Estimator'!$E$11:$Z$226,'Pre-Assessment Estimator'!$N$2,FALSE)&gt;AB195,AB195,VLOOKUP(E195,'Pre-Assessment Estimator'!$E$11:$Z$226,'Pre-Assessment Estimator'!$N$2,FALSE)))</f>
        <v>0</v>
      </c>
      <c r="AK195" s="1067">
        <f>IF(AK248=AD_no,0,IF(VLOOKUP(E195,'Pre-Assessment Estimator'!$E$11:$Z$226,'Pre-Assessment Estimator'!$U$2,FALSE)&gt;AB195,AB195,VLOOKUP(E195,'Pre-Assessment Estimator'!$E$11:$Z$226,'Pre-Assessment Estimator'!$U$2,FALSE)))</f>
        <v>0</v>
      </c>
      <c r="AM195" s="850"/>
      <c r="AN195" s="851"/>
      <c r="AO195" s="851"/>
      <c r="AP195" s="851"/>
      <c r="AQ195" s="843"/>
      <c r="AR195" s="139"/>
      <c r="AS195" s="850"/>
      <c r="AT195" s="851"/>
      <c r="AU195" s="851"/>
      <c r="AV195" s="851"/>
      <c r="AW195" s="843"/>
      <c r="AY195" s="731"/>
      <c r="AZ195" s="733"/>
      <c r="BA195" s="733"/>
      <c r="BB195" s="733"/>
      <c r="BC195" s="852"/>
      <c r="BD195" s="182">
        <f t="shared" ref="BD195" si="532">IF(BC195=0,9,IF(AI195&gt;=BC195,5,IF(AI195&gt;=BB195,4,IF(AI195&gt;=BA195,3,IF(AI195&gt;=AZ195,2,IF(AI195&lt;AY195,0,1))))))</f>
        <v>9</v>
      </c>
      <c r="BE195" s="164" t="str">
        <f t="shared" si="444"/>
        <v>N/A</v>
      </c>
      <c r="BF195" s="185"/>
      <c r="BG195" s="182">
        <f t="shared" ref="BG195" si="533">IF(BC195=0,9,IF(AJ195&gt;=BC195,5,IF(AJ195&gt;=BB195,4,IF(AJ195&gt;=BA195,3,IF(AJ195&gt;=AZ195,2,IF(AJ195&lt;AY195,0,1))))))</f>
        <v>9</v>
      </c>
      <c r="BH195" s="164" t="str">
        <f t="shared" si="446"/>
        <v>N/A</v>
      </c>
      <c r="BI195" s="185"/>
      <c r="BJ195" s="182">
        <f t="shared" ref="BJ195" si="534">IF(BC195=0,9,IF(AK195&gt;=BC195,5,IF(AK195&gt;=BB195,4,IF(AK195&gt;=BA195,3,IF(AK195&gt;=AZ195,2,IF(AK195&lt;AY195,0,1))))))</f>
        <v>9</v>
      </c>
      <c r="BK195" s="164" t="str">
        <f t="shared" si="448"/>
        <v>N/A</v>
      </c>
      <c r="BL195" s="847"/>
      <c r="BO195" s="167"/>
      <c r="BP195" s="167"/>
      <c r="BQ195" s="167" t="str">
        <f t="shared" si="342"/>
        <v/>
      </c>
      <c r="BR195" s="167">
        <f t="shared" si="399"/>
        <v>9</v>
      </c>
      <c r="BS195" s="167">
        <f t="shared" si="400"/>
        <v>9</v>
      </c>
      <c r="BT195" s="167">
        <f t="shared" si="401"/>
        <v>9</v>
      </c>
      <c r="BW195" s="314"/>
      <c r="BX195" s="314"/>
      <c r="BY195" s="314"/>
      <c r="BZ195" s="314"/>
      <c r="CA195" s="314"/>
      <c r="CB195" s="314"/>
    </row>
    <row r="196" spans="1:85" ht="15.75" thickBot="1" x14ac:dyDescent="0.3">
      <c r="A196" s="96">
        <v>188</v>
      </c>
      <c r="B196" s="96" t="str">
        <f t="shared" si="527"/>
        <v>LE 08d</v>
      </c>
      <c r="C196" s="96" t="str">
        <f t="shared" si="344"/>
        <v>LE 08</v>
      </c>
      <c r="D196" s="731" t="s">
        <v>695</v>
      </c>
      <c r="E196" s="1127" t="s">
        <v>689</v>
      </c>
      <c r="F196" s="941">
        <v>1</v>
      </c>
      <c r="G196" s="941">
        <v>1</v>
      </c>
      <c r="H196" s="941">
        <v>1</v>
      </c>
      <c r="I196" s="941">
        <v>1</v>
      </c>
      <c r="J196" s="941">
        <v>1</v>
      </c>
      <c r="K196" s="941">
        <v>1</v>
      </c>
      <c r="L196" s="941">
        <v>1</v>
      </c>
      <c r="M196" s="941">
        <v>1</v>
      </c>
      <c r="N196" s="941">
        <v>1</v>
      </c>
      <c r="O196" s="941">
        <v>1</v>
      </c>
      <c r="P196" s="941">
        <v>1</v>
      </c>
      <c r="Q196" s="941">
        <v>1</v>
      </c>
      <c r="R196" s="941">
        <v>1</v>
      </c>
      <c r="T196" s="221">
        <f t="shared" si="435"/>
        <v>1</v>
      </c>
      <c r="U196" s="192"/>
      <c r="V196" s="193"/>
      <c r="W196" s="193"/>
      <c r="X196" s="193"/>
      <c r="Y196" s="1164"/>
      <c r="Z196" s="168">
        <f>VLOOKUP(B196,'Manuell filtrering og justering'!$A$7:$H$253,'Manuell filtrering og justering'!$H$1,FALSE)</f>
        <v>0</v>
      </c>
      <c r="AA196" s="169">
        <f t="shared" si="437"/>
        <v>0</v>
      </c>
      <c r="AB196" s="170">
        <f>IF($AC$5='Manuell filtrering og justering'!$J$2,Z196,(T196-AA196))</f>
        <v>1</v>
      </c>
      <c r="AD196" s="171">
        <f t="shared" si="438"/>
        <v>7.8947368421052634E-3</v>
      </c>
      <c r="AE196" s="171">
        <f t="shared" si="450"/>
        <v>0</v>
      </c>
      <c r="AF196" s="171">
        <f t="shared" si="451"/>
        <v>0</v>
      </c>
      <c r="AG196" s="171">
        <f t="shared" si="452"/>
        <v>0</v>
      </c>
      <c r="AI196" s="1067">
        <f>IF(AI248=AD_no,0,IF(VLOOKUP(E196,'Pre-Assessment Estimator'!$E$11:$Z$226,'Pre-Assessment Estimator'!$G$2,FALSE)&gt;AB196,AB196,VLOOKUP(E196,'Pre-Assessment Estimator'!$E$11:$Z$226,'Pre-Assessment Estimator'!$G$2,FALSE)))</f>
        <v>0</v>
      </c>
      <c r="AJ196" s="1067">
        <f>IF(AJ248=AD_no,0,IF(VLOOKUP(E196,'Pre-Assessment Estimator'!$E$11:$Z$226,'Pre-Assessment Estimator'!$N$2,FALSE)&gt;AB196,AB196,VLOOKUP(E196,'Pre-Assessment Estimator'!$E$11:$Z$226,'Pre-Assessment Estimator'!$N$2,FALSE)))</f>
        <v>0</v>
      </c>
      <c r="AK196" s="1067">
        <f>IF(AK248=AD_no,0,IF(VLOOKUP(E196,'Pre-Assessment Estimator'!$E$11:$Z$226,'Pre-Assessment Estimator'!$U$2,FALSE)&gt;AB196,AB196,VLOOKUP(E196,'Pre-Assessment Estimator'!$E$11:$Z$226,'Pre-Assessment Estimator'!$U$2,FALSE)))</f>
        <v>0</v>
      </c>
      <c r="AM196" s="850"/>
      <c r="AN196" s="851"/>
      <c r="AO196" s="851"/>
      <c r="AP196" s="851"/>
      <c r="AQ196" s="843"/>
      <c r="AR196" s="139"/>
      <c r="AS196" s="850"/>
      <c r="AT196" s="851"/>
      <c r="AU196" s="851"/>
      <c r="AV196" s="851"/>
      <c r="AW196" s="843"/>
      <c r="AY196" s="731"/>
      <c r="AZ196" s="733"/>
      <c r="BA196" s="733"/>
      <c r="BB196" s="733"/>
      <c r="BC196" s="852"/>
      <c r="BD196" s="182">
        <f t="shared" si="524"/>
        <v>9</v>
      </c>
      <c r="BE196" s="164" t="str">
        <f t="shared" si="444"/>
        <v>N/A</v>
      </c>
      <c r="BF196" s="185"/>
      <c r="BG196" s="182">
        <f t="shared" si="525"/>
        <v>9</v>
      </c>
      <c r="BH196" s="164" t="str">
        <f t="shared" si="446"/>
        <v>N/A</v>
      </c>
      <c r="BI196" s="185"/>
      <c r="BJ196" s="182">
        <f t="shared" si="526"/>
        <v>9</v>
      </c>
      <c r="BK196" s="164" t="str">
        <f t="shared" si="448"/>
        <v>N/A</v>
      </c>
      <c r="BL196" s="847"/>
      <c r="BO196" s="167"/>
      <c r="BP196" s="167"/>
      <c r="BQ196" s="167" t="str">
        <f t="shared" si="342"/>
        <v/>
      </c>
      <c r="BR196" s="167">
        <f t="shared" si="399"/>
        <v>9</v>
      </c>
      <c r="BS196" s="167">
        <f t="shared" si="400"/>
        <v>9</v>
      </c>
      <c r="BT196" s="167">
        <f t="shared" si="401"/>
        <v>9</v>
      </c>
      <c r="BW196" s="314"/>
      <c r="BX196" s="314"/>
      <c r="BY196" s="314"/>
      <c r="BZ196" s="314"/>
      <c r="CA196" s="314"/>
      <c r="CB196" s="314"/>
    </row>
    <row r="197" spans="1:85" ht="15.75" thickBot="1" x14ac:dyDescent="0.3">
      <c r="A197" s="96">
        <v>189</v>
      </c>
      <c r="B197" s="96" t="s">
        <v>889</v>
      </c>
      <c r="D197" s="201"/>
      <c r="E197" s="202" t="s">
        <v>214</v>
      </c>
      <c r="F197" s="773">
        <f>F169+F171+F175+F179+F183+F187+F189+F192</f>
        <v>19</v>
      </c>
      <c r="G197" s="773">
        <f t="shared" ref="G197:R197" si="535">G169+G171+G175+G179+G183+G187+G189+G192</f>
        <v>19</v>
      </c>
      <c r="H197" s="773">
        <f t="shared" si="535"/>
        <v>19</v>
      </c>
      <c r="I197" s="773">
        <f t="shared" si="535"/>
        <v>19</v>
      </c>
      <c r="J197" s="773">
        <f t="shared" si="535"/>
        <v>19</v>
      </c>
      <c r="K197" s="773">
        <f t="shared" si="535"/>
        <v>19</v>
      </c>
      <c r="L197" s="773">
        <f t="shared" si="535"/>
        <v>19</v>
      </c>
      <c r="M197" s="773">
        <f t="shared" si="535"/>
        <v>19</v>
      </c>
      <c r="N197" s="773">
        <f t="shared" si="535"/>
        <v>19</v>
      </c>
      <c r="O197" s="773">
        <f t="shared" si="535"/>
        <v>19</v>
      </c>
      <c r="P197" s="773">
        <f t="shared" si="535"/>
        <v>19</v>
      </c>
      <c r="Q197" s="1126">
        <f t="shared" ref="Q197" si="536">Q169+Q171+Q175+Q179+Q183+Q187+Q189+Q192</f>
        <v>19</v>
      </c>
      <c r="R197" s="1126">
        <f t="shared" si="535"/>
        <v>19</v>
      </c>
      <c r="T197" s="226">
        <f t="shared" si="435"/>
        <v>19</v>
      </c>
      <c r="U197" s="204"/>
      <c r="V197" s="205"/>
      <c r="W197" s="205"/>
      <c r="X197" s="205"/>
      <c r="Y197" s="206"/>
      <c r="Z197" s="206"/>
      <c r="AA197" s="774">
        <f t="shared" ref="AA197:AG197" si="537">AA169+AA171+AA175+AA179+AA183+AA187+AA189+AA192</f>
        <v>0</v>
      </c>
      <c r="AB197" s="774">
        <f t="shared" si="537"/>
        <v>19</v>
      </c>
      <c r="AD197" s="208">
        <f t="shared" si="537"/>
        <v>0.15</v>
      </c>
      <c r="AE197" s="208">
        <f t="shared" si="537"/>
        <v>0</v>
      </c>
      <c r="AF197" s="208">
        <f t="shared" si="537"/>
        <v>0</v>
      </c>
      <c r="AG197" s="208">
        <f t="shared" si="537"/>
        <v>0</v>
      </c>
      <c r="AI197" s="78">
        <f t="shared" ref="AI197:AK197" si="538">AI169+AI171+AI175+AI179+AI183+AI187+AI189+AI192</f>
        <v>0</v>
      </c>
      <c r="AJ197" s="78">
        <f t="shared" si="538"/>
        <v>0</v>
      </c>
      <c r="AK197" s="78">
        <f t="shared" si="538"/>
        <v>0</v>
      </c>
      <c r="AM197" s="139"/>
      <c r="AN197" s="139"/>
      <c r="AO197" s="139"/>
      <c r="AP197" s="139"/>
      <c r="AQ197" s="139"/>
      <c r="AR197" s="139"/>
      <c r="AS197" s="139"/>
      <c r="AT197" s="139"/>
      <c r="AU197" s="139"/>
      <c r="AV197" s="139"/>
      <c r="AW197" s="139"/>
      <c r="AY197" s="97"/>
      <c r="AZ197" s="209"/>
      <c r="BA197" s="97"/>
      <c r="BB197" s="97"/>
      <c r="BC197" s="97"/>
      <c r="BW197" s="202"/>
      <c r="BX197" s="202" t="str">
        <f>IFERROR(VLOOKUP($E197,'Pre-Assessment Estimator'!$E$11:$AB$226,'Pre-Assessment Estimator'!AB$2,FALSE),"")</f>
        <v/>
      </c>
      <c r="BY197" s="202" t="str">
        <f>IFERROR(VLOOKUP($E197,'Pre-Assessment Estimator'!$E$11:$AI$226,'Pre-Assessment Estimator'!AI$2,FALSE),"")</f>
        <v/>
      </c>
      <c r="BZ197" s="202" t="str">
        <f t="shared" ref="BZ197:CA199" si="539">IFERROR(VLOOKUP($BX197,$E$293:$H$326,F$291,FALSE),"")</f>
        <v/>
      </c>
      <c r="CA197" s="202" t="str">
        <f t="shared" si="539"/>
        <v/>
      </c>
      <c r="CB197" s="202"/>
      <c r="CC197" s="96" t="str">
        <f>IFERROR(VLOOKUP($BX197,$E$293:$H$326,I$291,FALSE),"")</f>
        <v/>
      </c>
    </row>
    <row r="198" spans="1:85" ht="15.75" thickBot="1" x14ac:dyDescent="0.3">
      <c r="A198" s="96">
        <v>190</v>
      </c>
      <c r="AI198" s="3"/>
      <c r="AJ198" s="3"/>
      <c r="AK198" s="3"/>
      <c r="AM198" s="139"/>
      <c r="AN198" s="139"/>
      <c r="AO198" s="139"/>
      <c r="AP198" s="139"/>
      <c r="AQ198" s="139"/>
      <c r="AR198" s="139"/>
      <c r="AS198" s="139"/>
      <c r="AT198" s="139"/>
      <c r="AU198" s="139"/>
      <c r="AV198" s="139"/>
      <c r="AW198" s="139"/>
      <c r="AY198" s="97"/>
      <c r="AZ198" s="97"/>
      <c r="BA198" s="97"/>
      <c r="BB198" s="97"/>
      <c r="BC198" s="97"/>
      <c r="BX198" s="96" t="str">
        <f>IFERROR(VLOOKUP($E198,'Pre-Assessment Estimator'!$E$11:$AB$226,'Pre-Assessment Estimator'!AB$2,FALSE),"")</f>
        <v/>
      </c>
      <c r="BY198" s="96" t="str">
        <f>IFERROR(VLOOKUP($E198,'Pre-Assessment Estimator'!$E$11:$AI$226,'Pre-Assessment Estimator'!AI$2,FALSE),"")</f>
        <v/>
      </c>
      <c r="BZ198" s="96" t="str">
        <f t="shared" si="539"/>
        <v/>
      </c>
      <c r="CA198" s="96" t="str">
        <f t="shared" si="539"/>
        <v/>
      </c>
      <c r="CC198" s="96" t="str">
        <f>IFERROR(VLOOKUP($BX198,$E$293:$H$326,I$291,FALSE),"")</f>
        <v/>
      </c>
    </row>
    <row r="199" spans="1:85" ht="60.75" thickBot="1" x14ac:dyDescent="0.3">
      <c r="A199" s="96">
        <v>191</v>
      </c>
      <c r="D199" s="151"/>
      <c r="E199" s="152" t="s">
        <v>71</v>
      </c>
      <c r="F199" s="1241" t="str">
        <f>$F$9</f>
        <v>Office</v>
      </c>
      <c r="G199" s="1241" t="str">
        <f>$G$9</f>
        <v>Retail</v>
      </c>
      <c r="H199" s="1245" t="str">
        <f>$H$9</f>
        <v>Residential</v>
      </c>
      <c r="I199" s="1241" t="str">
        <f>$I$9</f>
        <v>Industrial</v>
      </c>
      <c r="J199" s="1243" t="str">
        <f>$J$9</f>
        <v>Healthcare</v>
      </c>
      <c r="K199" s="1243" t="str">
        <f>$K$9</f>
        <v>Prison</v>
      </c>
      <c r="L199" s="1243" t="str">
        <f>$L$9</f>
        <v>Law Court</v>
      </c>
      <c r="M199" s="1247" t="str">
        <f>$M$9</f>
        <v>Residential institution (long term stay)</v>
      </c>
      <c r="N199" s="918" t="str">
        <f>$N$9</f>
        <v>Residential institution (short term stay)</v>
      </c>
      <c r="O199" s="918" t="str">
        <f>$O$9</f>
        <v>Non-residential institution</v>
      </c>
      <c r="P199" s="918" t="str">
        <f>$P$9</f>
        <v>Assembly and leisure</v>
      </c>
      <c r="Q199" s="1243" t="str">
        <f>$Q$9</f>
        <v>Education</v>
      </c>
      <c r="R199" s="857" t="str">
        <f>$R$9</f>
        <v>Other</v>
      </c>
      <c r="T199" s="138" t="str">
        <f>$E$6</f>
        <v>Office</v>
      </c>
      <c r="U199" s="210"/>
      <c r="V199" s="211"/>
      <c r="W199" s="1105"/>
      <c r="X199" s="211"/>
      <c r="Y199" s="1165" t="s">
        <v>412</v>
      </c>
      <c r="Z199" s="347" t="s">
        <v>335</v>
      </c>
      <c r="AA199" s="150" t="s">
        <v>214</v>
      </c>
      <c r="AB199" s="59" t="s">
        <v>15</v>
      </c>
      <c r="AI199" s="42"/>
      <c r="AJ199" s="60"/>
      <c r="AK199" s="60"/>
      <c r="AM199" s="139"/>
      <c r="AN199" s="139"/>
      <c r="AO199" s="139"/>
      <c r="AP199" s="139"/>
      <c r="AQ199" s="139"/>
      <c r="AR199" s="139"/>
      <c r="AS199" s="139"/>
      <c r="AT199" s="139"/>
      <c r="AU199" s="139"/>
      <c r="AV199" s="139"/>
      <c r="AW199" s="139"/>
      <c r="AY199" s="97"/>
      <c r="AZ199" s="97"/>
      <c r="BA199" s="97"/>
      <c r="BB199" s="97"/>
      <c r="BC199" s="97"/>
      <c r="BO199" s="60"/>
      <c r="BP199" s="60"/>
      <c r="BQ199" s="60"/>
      <c r="BR199" s="60"/>
      <c r="BS199" s="60"/>
      <c r="BT199" s="60"/>
      <c r="BW199" s="146"/>
      <c r="BX199" s="146" t="str">
        <f>E199</f>
        <v>Pollution</v>
      </c>
      <c r="BY199" s="146">
        <f>IFERROR(VLOOKUP($E199,'Pre-Assessment Estimator'!$E$11:$AI$226,'Pre-Assessment Estimator'!AI$2,FALSE),"")</f>
        <v>0</v>
      </c>
      <c r="BZ199" s="146" t="str">
        <f t="shared" si="539"/>
        <v/>
      </c>
      <c r="CA199" s="146" t="str">
        <f t="shared" si="539"/>
        <v/>
      </c>
      <c r="CB199" s="146"/>
      <c r="CC199" s="96" t="str">
        <f>IFERROR(VLOOKUP($BX199,$E$293:$H$326,I$291,FALSE),"")</f>
        <v/>
      </c>
    </row>
    <row r="200" spans="1:85" x14ac:dyDescent="0.25">
      <c r="A200" s="96">
        <v>192</v>
      </c>
      <c r="B200" s="137" t="str">
        <f>D200</f>
        <v>POL 01</v>
      </c>
      <c r="C200" s="137" t="str">
        <f>B200</f>
        <v>POL 01</v>
      </c>
      <c r="D200" s="858" t="s">
        <v>185</v>
      </c>
      <c r="E200" s="859" t="s">
        <v>164</v>
      </c>
      <c r="F200" s="951">
        <v>3</v>
      </c>
      <c r="G200" s="951">
        <v>3</v>
      </c>
      <c r="H200" s="951">
        <v>3</v>
      </c>
      <c r="I200" s="951">
        <v>3</v>
      </c>
      <c r="J200" s="951">
        <v>3</v>
      </c>
      <c r="K200" s="951">
        <v>3</v>
      </c>
      <c r="L200" s="951">
        <v>3</v>
      </c>
      <c r="M200" s="951">
        <v>3</v>
      </c>
      <c r="N200" s="951">
        <v>3</v>
      </c>
      <c r="O200" s="951">
        <v>3</v>
      </c>
      <c r="P200" s="951">
        <v>3</v>
      </c>
      <c r="Q200" s="951">
        <v>3</v>
      </c>
      <c r="R200" s="951">
        <v>3</v>
      </c>
      <c r="T200" s="961">
        <f t="shared" ref="T200:T206" si="540">HLOOKUP($E$6,$F$9:$R$231,$A200,FALSE)</f>
        <v>3</v>
      </c>
      <c r="U200" s="222"/>
      <c r="V200" s="1098"/>
      <c r="W200" s="150" t="s">
        <v>390</v>
      </c>
      <c r="X200" s="1099">
        <f>'Manuell filtrering og justering'!E86</f>
        <v>0</v>
      </c>
      <c r="Y200" s="1159"/>
      <c r="Z200" s="980">
        <f>SUM(AB201:AB203)</f>
        <v>3</v>
      </c>
      <c r="AA200" s="963">
        <f t="shared" ref="AA200:AA206" si="541">IF(SUM(U200:Y200)&gt;T200,T200,SUM(U200:Y200))</f>
        <v>0</v>
      </c>
      <c r="AB200" s="1066">
        <f>SUM(AB201:AB203)</f>
        <v>3</v>
      </c>
      <c r="AD200" s="171">
        <f t="shared" ref="AD200:AD213" si="542">(Pol_Weight/Pol_Credits)*AB200</f>
        <v>1.7142857142857144E-2</v>
      </c>
      <c r="AE200" s="921">
        <f>IF(SUM(AE201:AE203)&gt;$AD$200,$AD$200,SUM(AE201:AE203))</f>
        <v>0</v>
      </c>
      <c r="AF200" s="921">
        <f>IF(SUM(AF201:AF203)&gt;$AD$200,$AD$200,SUM(AF201:AF203))</f>
        <v>0</v>
      </c>
      <c r="AG200" s="921">
        <f>IF(SUM(AG201:AG203)&gt;$AD$200,$AD$200,SUM(AG201:AG203))</f>
        <v>0</v>
      </c>
      <c r="AI200" s="958">
        <f>IF(SUM(AI201:AI203)&gt;Pol01_credits,Pol01_credits,SUM(AI201:AI203))</f>
        <v>0</v>
      </c>
      <c r="AJ200" s="958">
        <f>IF(SUM(AJ201:AJ203)&gt;Pol01_credits,Pol01_credits,SUM(AJ201:AJ203))</f>
        <v>0</v>
      </c>
      <c r="AK200" s="958">
        <f>IF(SUM(AK201:AK203)&gt;Pol01_credits,Pol01_credits,SUM(AK201:AK203))</f>
        <v>0</v>
      </c>
      <c r="AL200" s="96" t="s">
        <v>426</v>
      </c>
      <c r="AM200" s="298"/>
      <c r="AN200" s="299"/>
      <c r="AO200" s="299"/>
      <c r="AP200" s="299"/>
      <c r="AQ200" s="300"/>
      <c r="AR200" s="139"/>
      <c r="AS200" s="298"/>
      <c r="AT200" s="299"/>
      <c r="AU200" s="299"/>
      <c r="AV200" s="299"/>
      <c r="AW200" s="300"/>
      <c r="AY200" s="218"/>
      <c r="AZ200" s="219"/>
      <c r="BA200" s="219"/>
      <c r="BB200" s="219"/>
      <c r="BC200" s="220">
        <f t="shared" ref="BC200:BC223" si="543">IF($E$6=$H$9,AW200,AQ200)</f>
        <v>0</v>
      </c>
      <c r="BD200" s="174">
        <f t="shared" si="464"/>
        <v>9</v>
      </c>
      <c r="BE200" s="164" t="str">
        <f t="shared" ref="BE200:BE213" si="544">VLOOKUP(BD200,$BO$284:$BT$290,6,FALSE)</f>
        <v>N/A</v>
      </c>
      <c r="BF200" s="178"/>
      <c r="BG200" s="174">
        <f>IF(BC200=0,9,IF(AJ200&gt;=BC200,5,IF(AJ200&gt;=BB200,4,IF(AJ200&gt;=BA200,3,IF(AJ200&gt;=AZ200,2,IF(AJ200&lt;AY200,0,1))))))</f>
        <v>9</v>
      </c>
      <c r="BH200" s="164" t="str">
        <f t="shared" ref="BH200:BH213" si="545">VLOOKUP(BG200,$BO$284:$BT$290,6,FALSE)</f>
        <v>N/A</v>
      </c>
      <c r="BI200" s="178"/>
      <c r="BJ200" s="174">
        <f t="shared" si="447"/>
        <v>9</v>
      </c>
      <c r="BK200" s="164" t="str">
        <f t="shared" ref="BK200:BK213" si="546">VLOOKUP(BJ200,$BO$284:$BT$290,6,FALSE)</f>
        <v>N/A</v>
      </c>
      <c r="BL200" s="178"/>
      <c r="BO200" s="167"/>
      <c r="BP200" s="167"/>
      <c r="BQ200" s="167" t="str">
        <f t="shared" si="342"/>
        <v/>
      </c>
      <c r="BR200" s="167">
        <f t="shared" si="399"/>
        <v>9</v>
      </c>
      <c r="BS200" s="167">
        <f t="shared" si="400"/>
        <v>9</v>
      </c>
      <c r="BT200" s="167">
        <f t="shared" si="401"/>
        <v>9</v>
      </c>
      <c r="BW200" s="164" t="str">
        <f>D200</f>
        <v>POL 01</v>
      </c>
      <c r="BX200" s="164" t="str">
        <f>IFERROR(VLOOKUP($E200,'Pre-Assessment Estimator'!$E$11:$AB$226,'Pre-Assessment Estimator'!AB$2,FALSE),"")</f>
        <v>No</v>
      </c>
      <c r="BY200" s="674" t="str">
        <f>IFERROR(VLOOKUP($E200,'Pre-Assessment Estimator'!$E$11:$AI$226,'Pre-Assessment Estimator'!AI$2,FALSE),"")</f>
        <v>Ja</v>
      </c>
      <c r="BZ200" s="164">
        <f>IFERROR(VLOOKUP($BX200,$E$293:$H$326,F$291,FALSE),"")</f>
        <v>1</v>
      </c>
      <c r="CA200" s="680" t="s">
        <v>431</v>
      </c>
      <c r="CB200" s="164"/>
      <c r="CC200" s="96" t="str">
        <f>IFERROR(VLOOKUP($BX200,$E$293:$H$326,I$291,FALSE),"")</f>
        <v/>
      </c>
      <c r="CD200" s="96" t="s">
        <v>437</v>
      </c>
      <c r="CE200" s="167">
        <f>VLOOKUP(CA200,$CA$4:$CB$5,2,FALSE)</f>
        <v>1</v>
      </c>
      <c r="CG200" s="681">
        <f>IF($BX$5=ais_nei,CE200,IF(AND(CA200=$CA$4,BX200=$CC$4),0,BZ200))</f>
        <v>1</v>
      </c>
    </row>
    <row r="201" spans="1:85" x14ac:dyDescent="0.25">
      <c r="A201" s="96">
        <v>193</v>
      </c>
      <c r="B201" s="96" t="str">
        <f t="shared" ref="B201:B203" si="547">$D$200&amp;D201</f>
        <v>POL 01a</v>
      </c>
      <c r="C201" s="96" t="str">
        <f t="shared" si="344"/>
        <v>POL 01</v>
      </c>
      <c r="D201" s="166" t="s">
        <v>693</v>
      </c>
      <c r="E201" s="917" t="s">
        <v>899</v>
      </c>
      <c r="F201" s="775">
        <v>3</v>
      </c>
      <c r="G201" s="775">
        <v>3</v>
      </c>
      <c r="H201" s="775">
        <v>3</v>
      </c>
      <c r="I201" s="775">
        <v>3</v>
      </c>
      <c r="J201" s="775">
        <v>3</v>
      </c>
      <c r="K201" s="775">
        <v>3</v>
      </c>
      <c r="L201" s="775">
        <v>3</v>
      </c>
      <c r="M201" s="775">
        <v>3</v>
      </c>
      <c r="N201" s="775">
        <v>3</v>
      </c>
      <c r="O201" s="775">
        <v>3</v>
      </c>
      <c r="P201" s="775">
        <v>3</v>
      </c>
      <c r="Q201" s="775">
        <v>3</v>
      </c>
      <c r="R201" s="775">
        <v>3</v>
      </c>
      <c r="T201" s="221">
        <f t="shared" si="540"/>
        <v>3</v>
      </c>
      <c r="U201" s="222">
        <f>IF('Assessment Details'!F24=AD_Yes,Poeng!T201,0)</f>
        <v>0</v>
      </c>
      <c r="V201" s="190"/>
      <c r="W201" s="963">
        <f>IF('Assessment Details'!F24=AD_Yes,Poeng!Z201,0)</f>
        <v>0</v>
      </c>
      <c r="X201" s="239"/>
      <c r="Y201" s="169">
        <f>IF($Y$4=$Y$6,T201,0)</f>
        <v>0</v>
      </c>
      <c r="Z201" s="168">
        <f>VLOOKUP(B201,'Manuell filtrering og justering'!$A$7:$H$253,'Manuell filtrering og justering'!$H$1,FALSE)</f>
        <v>3</v>
      </c>
      <c r="AA201" s="169">
        <f t="shared" si="541"/>
        <v>0</v>
      </c>
      <c r="AB201" s="1036">
        <f>IF($AC$5='Manuell filtrering og justering'!$J$2,Z201-W201,(T201-AA201))</f>
        <v>3</v>
      </c>
      <c r="AD201" s="171">
        <f t="shared" si="542"/>
        <v>1.7142857142857144E-2</v>
      </c>
      <c r="AE201" s="171">
        <f t="shared" ref="AE201:AE213" si="548">IF(AB201=0,0,(AD201/AB201)*AI201)</f>
        <v>0</v>
      </c>
      <c r="AF201" s="171">
        <f t="shared" ref="AF201:AF213" si="549">IF(AB201=0,0,(AD201/AB201)*AJ201)</f>
        <v>0</v>
      </c>
      <c r="AG201" s="171">
        <f t="shared" ref="AG201:AG213" si="550">IF(AB201=0,0,(AD201/AB201)*AK201)</f>
        <v>0</v>
      </c>
      <c r="AI201" s="172">
        <f>IF(VLOOKUP(E201,'Pre-Assessment Estimator'!$E$11:$Z$226,'Pre-Assessment Estimator'!$G$2,FALSE)&gt;AB201,AB201,VLOOKUP(E201,'Pre-Assessment Estimator'!$E$11:$Z$226,'Pre-Assessment Estimator'!$G$2,FALSE))</f>
        <v>0</v>
      </c>
      <c r="AJ201" s="172">
        <f>IF(VLOOKUP(E201,'Pre-Assessment Estimator'!$E$11:$Z$226,'Pre-Assessment Estimator'!$N$2,FALSE)&gt;AB201,AB201,VLOOKUP(E201,'Pre-Assessment Estimator'!$E$11:$Z$226,'Pre-Assessment Estimator'!$N$2,FALSE))</f>
        <v>0</v>
      </c>
      <c r="AK201" s="172">
        <f>IF(VLOOKUP(E201,'Pre-Assessment Estimator'!$E$11:$Z$226,'Pre-Assessment Estimator'!$U$2,FALSE)&gt;AB201,AB201,VLOOKUP(E201,'Pre-Assessment Estimator'!$E$11:$Z$226,'Pre-Assessment Estimator'!$U$2,FALSE))</f>
        <v>0</v>
      </c>
      <c r="AM201" s="835"/>
      <c r="AN201" s="836"/>
      <c r="AO201" s="836"/>
      <c r="AP201" s="836"/>
      <c r="AQ201" s="837"/>
      <c r="AR201" s="139"/>
      <c r="AS201" s="835"/>
      <c r="AT201" s="836"/>
      <c r="AU201" s="836"/>
      <c r="AV201" s="836"/>
      <c r="AW201" s="837"/>
      <c r="AY201" s="708"/>
      <c r="AZ201" s="709"/>
      <c r="BA201" s="709"/>
      <c r="BB201" s="709"/>
      <c r="BC201" s="838"/>
      <c r="BD201" s="182">
        <f t="shared" ref="BD201:BD203" si="551">IF(BC201=0,9,IF(AI201&gt;=BC201,5,IF(AI201&gt;=BB201,4,IF(AI201&gt;=BA201,3,IF(AI201&gt;=AZ201,2,IF(AI201&lt;AY201,0,1))))))</f>
        <v>9</v>
      </c>
      <c r="BE201" s="164" t="str">
        <f t="shared" si="544"/>
        <v>N/A</v>
      </c>
      <c r="BF201" s="185"/>
      <c r="BG201" s="182">
        <f t="shared" ref="BG201:BG203" si="552">IF(BC201=0,9,IF(AJ201&gt;=BC201,5,IF(AJ201&gt;=BB201,4,IF(AJ201&gt;=BA201,3,IF(AJ201&gt;=AZ201,2,IF(AJ201&lt;AY201,0,1))))))</f>
        <v>9</v>
      </c>
      <c r="BH201" s="164" t="str">
        <f t="shared" si="545"/>
        <v>N/A</v>
      </c>
      <c r="BI201" s="185"/>
      <c r="BJ201" s="182">
        <f t="shared" ref="BJ201:BJ203" si="553">IF(BC201=0,9,IF(AK201&gt;=BC201,5,IF(AK201&gt;=BB201,4,IF(AK201&gt;=BA201,3,IF(AK201&gt;=AZ201,2,IF(AK201&lt;AY201,0,1))))))</f>
        <v>9</v>
      </c>
      <c r="BK201" s="164" t="str">
        <f t="shared" si="546"/>
        <v>N/A</v>
      </c>
      <c r="BL201" s="830"/>
      <c r="BO201" s="167"/>
      <c r="BP201" s="167"/>
      <c r="BQ201" s="167" t="str">
        <f t="shared" si="342"/>
        <v/>
      </c>
      <c r="BR201" s="167">
        <f t="shared" si="399"/>
        <v>9</v>
      </c>
      <c r="BS201" s="167">
        <f t="shared" si="400"/>
        <v>9</v>
      </c>
      <c r="BT201" s="167">
        <f t="shared" si="401"/>
        <v>9</v>
      </c>
      <c r="BW201" s="164"/>
      <c r="BX201" s="164"/>
      <c r="BY201" s="674"/>
      <c r="BZ201" s="164"/>
      <c r="CA201" s="680"/>
      <c r="CB201" s="164"/>
      <c r="CE201" s="167"/>
      <c r="CG201" s="681"/>
    </row>
    <row r="202" spans="1:85" x14ac:dyDescent="0.25">
      <c r="A202" s="96">
        <v>194</v>
      </c>
      <c r="B202" s="96" t="str">
        <f t="shared" si="547"/>
        <v>POL 01c</v>
      </c>
      <c r="C202" s="96" t="str">
        <f t="shared" si="344"/>
        <v>POL 01</v>
      </c>
      <c r="D202" s="166" t="s">
        <v>697</v>
      </c>
      <c r="E202" s="917" t="s">
        <v>382</v>
      </c>
      <c r="F202" s="775">
        <v>2</v>
      </c>
      <c r="G202" s="775">
        <v>2</v>
      </c>
      <c r="H202" s="775">
        <v>2</v>
      </c>
      <c r="I202" s="775">
        <v>2</v>
      </c>
      <c r="J202" s="775">
        <v>2</v>
      </c>
      <c r="K202" s="775">
        <v>2</v>
      </c>
      <c r="L202" s="775">
        <v>2</v>
      </c>
      <c r="M202" s="775">
        <v>2</v>
      </c>
      <c r="N202" s="775">
        <v>2</v>
      </c>
      <c r="O202" s="775">
        <v>2</v>
      </c>
      <c r="P202" s="775">
        <v>2</v>
      </c>
      <c r="Q202" s="775">
        <v>2</v>
      </c>
      <c r="R202" s="775">
        <v>2</v>
      </c>
      <c r="T202" s="221">
        <f t="shared" si="540"/>
        <v>2</v>
      </c>
      <c r="U202" s="222">
        <f>IF(U201&gt;0,0,T202)</f>
        <v>2</v>
      </c>
      <c r="V202" s="190"/>
      <c r="W202" s="963">
        <f>IF(W201&gt;0,0,Z202)</f>
        <v>2</v>
      </c>
      <c r="X202" s="239"/>
      <c r="Y202" s="169">
        <f>IF($Y$4=$Y$6,T202,0)</f>
        <v>0</v>
      </c>
      <c r="Z202" s="168">
        <f>VLOOKUP(B202,'Manuell filtrering og justering'!$A$7:$H$253,'Manuell filtrering og justering'!$H$1,FALSE)</f>
        <v>2</v>
      </c>
      <c r="AA202" s="169">
        <f t="shared" si="541"/>
        <v>2</v>
      </c>
      <c r="AB202" s="1036">
        <f>IF($AC$5='Manuell filtrering og justering'!$J$2,Z202-W202,(T202-AA202))</f>
        <v>0</v>
      </c>
      <c r="AD202" s="171">
        <f t="shared" si="542"/>
        <v>0</v>
      </c>
      <c r="AE202" s="171">
        <f t="shared" si="548"/>
        <v>0</v>
      </c>
      <c r="AF202" s="171">
        <f t="shared" si="549"/>
        <v>0</v>
      </c>
      <c r="AG202" s="171">
        <f t="shared" si="550"/>
        <v>0</v>
      </c>
      <c r="AI202" s="1067">
        <f>IF(AI249=AD_no,0,IF(VLOOKUP(E202,'Pre-Assessment Estimator'!$E$11:$Z$226,'Pre-Assessment Estimator'!$G$2,FALSE)&gt;AB202,AB202,VLOOKUP(E202,'Pre-Assessment Estimator'!$E$11:$Z$226,'Pre-Assessment Estimator'!$G$2,FALSE)))</f>
        <v>0</v>
      </c>
      <c r="AJ202" s="1067">
        <f>IF(AJ249=AD_no,0,IF(VLOOKUP(E202,'Pre-Assessment Estimator'!$E$11:$Z$226,'Pre-Assessment Estimator'!$N$2,FALSE)&gt;AB202,AB202,VLOOKUP(E202,'Pre-Assessment Estimator'!$E$11:$Z$226,'Pre-Assessment Estimator'!$N$2,FALSE)))</f>
        <v>0</v>
      </c>
      <c r="AK202" s="1067">
        <f>IF(AK249=AD_no,0,IF(VLOOKUP(E202,'Pre-Assessment Estimator'!$E$11:$Z$226,'Pre-Assessment Estimator'!$U$2,FALSE)&gt;AB202,AB202,VLOOKUP(E202,'Pre-Assessment Estimator'!$E$11:$Z$226,'Pre-Assessment Estimator'!$U$2,FALSE)))</f>
        <v>0</v>
      </c>
      <c r="AM202" s="835"/>
      <c r="AN202" s="836"/>
      <c r="AO202" s="836"/>
      <c r="AP202" s="836"/>
      <c r="AQ202" s="837"/>
      <c r="AR202" s="139"/>
      <c r="AS202" s="835"/>
      <c r="AT202" s="836"/>
      <c r="AU202" s="836"/>
      <c r="AV202" s="836"/>
      <c r="AW202" s="837"/>
      <c r="AY202" s="708"/>
      <c r="AZ202" s="709"/>
      <c r="BA202" s="709"/>
      <c r="BB202" s="709"/>
      <c r="BC202" s="838"/>
      <c r="BD202" s="182">
        <f t="shared" si="551"/>
        <v>9</v>
      </c>
      <c r="BE202" s="164" t="str">
        <f t="shared" si="544"/>
        <v>N/A</v>
      </c>
      <c r="BF202" s="185"/>
      <c r="BG202" s="182">
        <f t="shared" si="552"/>
        <v>9</v>
      </c>
      <c r="BH202" s="164" t="str">
        <f t="shared" si="545"/>
        <v>N/A</v>
      </c>
      <c r="BI202" s="185"/>
      <c r="BJ202" s="182">
        <f t="shared" si="553"/>
        <v>9</v>
      </c>
      <c r="BK202" s="164" t="str">
        <f t="shared" si="546"/>
        <v>N/A</v>
      </c>
      <c r="BL202" s="830"/>
      <c r="BO202" s="167"/>
      <c r="BP202" s="167"/>
      <c r="BQ202" s="167" t="str">
        <f t="shared" si="342"/>
        <v/>
      </c>
      <c r="BR202" s="167">
        <f t="shared" si="399"/>
        <v>9</v>
      </c>
      <c r="BS202" s="167">
        <f t="shared" si="400"/>
        <v>9</v>
      </c>
      <c r="BT202" s="167">
        <f t="shared" si="401"/>
        <v>9</v>
      </c>
      <c r="BW202" s="164"/>
      <c r="BX202" s="164"/>
      <c r="BY202" s="674"/>
      <c r="BZ202" s="164"/>
      <c r="CA202" s="680"/>
      <c r="CB202" s="164"/>
      <c r="CE202" s="167"/>
      <c r="CG202" s="681"/>
    </row>
    <row r="203" spans="1:85" x14ac:dyDescent="0.25">
      <c r="A203" s="96">
        <v>195</v>
      </c>
      <c r="B203" s="96" t="str">
        <f t="shared" si="547"/>
        <v>POL 01d</v>
      </c>
      <c r="C203" s="96" t="str">
        <f t="shared" si="344"/>
        <v>POL 01</v>
      </c>
      <c r="D203" s="166" t="s">
        <v>695</v>
      </c>
      <c r="E203" s="917" t="s">
        <v>900</v>
      </c>
      <c r="F203" s="775">
        <v>1</v>
      </c>
      <c r="G203" s="775">
        <v>1</v>
      </c>
      <c r="H203" s="775">
        <v>1</v>
      </c>
      <c r="I203" s="775">
        <v>1</v>
      </c>
      <c r="J203" s="775">
        <v>1</v>
      </c>
      <c r="K203" s="775">
        <v>1</v>
      </c>
      <c r="L203" s="775">
        <v>1</v>
      </c>
      <c r="M203" s="775">
        <v>1</v>
      </c>
      <c r="N203" s="775">
        <v>1</v>
      </c>
      <c r="O203" s="775">
        <v>1</v>
      </c>
      <c r="P203" s="775">
        <v>1</v>
      </c>
      <c r="Q203" s="775">
        <v>1</v>
      </c>
      <c r="R203" s="775">
        <v>1</v>
      </c>
      <c r="T203" s="221">
        <f t="shared" si="540"/>
        <v>1</v>
      </c>
      <c r="U203" s="222">
        <f>IF(U201&gt;0,0,T203)</f>
        <v>1</v>
      </c>
      <c r="V203" s="190"/>
      <c r="W203" s="963">
        <f>IF(W201&gt;0,0,Z203)</f>
        <v>1</v>
      </c>
      <c r="X203" s="239"/>
      <c r="Y203" s="169">
        <f>IF($Y$4=$Y$6,T203,0)</f>
        <v>0</v>
      </c>
      <c r="Z203" s="168">
        <f>VLOOKUP(B203,'Manuell filtrering og justering'!$A$7:$H$253,'Manuell filtrering og justering'!$H$1,FALSE)</f>
        <v>1</v>
      </c>
      <c r="AA203" s="169">
        <f t="shared" si="541"/>
        <v>1</v>
      </c>
      <c r="AB203" s="1036">
        <f>IF($AC$5='Manuell filtrering og justering'!$J$2,Z203-W203,(T203-AA203))</f>
        <v>0</v>
      </c>
      <c r="AD203" s="171">
        <f t="shared" si="542"/>
        <v>0</v>
      </c>
      <c r="AE203" s="171">
        <f t="shared" si="548"/>
        <v>0</v>
      </c>
      <c r="AF203" s="171">
        <f t="shared" si="549"/>
        <v>0</v>
      </c>
      <c r="AG203" s="171">
        <f t="shared" si="550"/>
        <v>0</v>
      </c>
      <c r="AI203" s="1067">
        <f>IF(AI249=AD_no,0,IF(VLOOKUP(E203,'Pre-Assessment Estimator'!$E$11:$Z$226,'Pre-Assessment Estimator'!$G$2,FALSE)&gt;AB203,AB203,VLOOKUP(E203,'Pre-Assessment Estimator'!$E$11:$Z$226,'Pre-Assessment Estimator'!$G$2,FALSE)))</f>
        <v>0</v>
      </c>
      <c r="AJ203" s="1067">
        <f>IF(AJ249=AD_no,0,IF(VLOOKUP(E203,'Pre-Assessment Estimator'!$E$11:$Z$226,'Pre-Assessment Estimator'!$N$2,FALSE)&gt;AB203,AB203,VLOOKUP(E203,'Pre-Assessment Estimator'!$E$11:$Z$226,'Pre-Assessment Estimator'!$N$2,FALSE)))</f>
        <v>0</v>
      </c>
      <c r="AK203" s="1067">
        <f>IF(AK249=AD_no,0,IF(VLOOKUP(E203,'Pre-Assessment Estimator'!$E$11:$Z$226,'Pre-Assessment Estimator'!$U$2,FALSE)&gt;AB203,AB203,VLOOKUP(E203,'Pre-Assessment Estimator'!$E$11:$Z$226,'Pre-Assessment Estimator'!$U$2,FALSE)))</f>
        <v>0</v>
      </c>
      <c r="AM203" s="835"/>
      <c r="AN203" s="836"/>
      <c r="AO203" s="836"/>
      <c r="AP203" s="836"/>
      <c r="AQ203" s="837"/>
      <c r="AR203" s="139"/>
      <c r="AS203" s="835"/>
      <c r="AT203" s="836"/>
      <c r="AU203" s="836"/>
      <c r="AV203" s="836"/>
      <c r="AW203" s="837"/>
      <c r="AY203" s="708"/>
      <c r="AZ203" s="709"/>
      <c r="BA203" s="709"/>
      <c r="BB203" s="709"/>
      <c r="BC203" s="838"/>
      <c r="BD203" s="182">
        <f t="shared" si="551"/>
        <v>9</v>
      </c>
      <c r="BE203" s="164" t="str">
        <f t="shared" si="544"/>
        <v>N/A</v>
      </c>
      <c r="BF203" s="185"/>
      <c r="BG203" s="182">
        <f t="shared" si="552"/>
        <v>9</v>
      </c>
      <c r="BH203" s="164" t="str">
        <f t="shared" si="545"/>
        <v>N/A</v>
      </c>
      <c r="BI203" s="185"/>
      <c r="BJ203" s="182">
        <f t="shared" si="553"/>
        <v>9</v>
      </c>
      <c r="BK203" s="164" t="str">
        <f t="shared" si="546"/>
        <v>N/A</v>
      </c>
      <c r="BL203" s="830"/>
      <c r="BO203" s="167"/>
      <c r="BP203" s="167"/>
      <c r="BQ203" s="167" t="str">
        <f t="shared" ref="BQ203:BQ251" si="554">IF(BO203&lt;&gt;"",BO203,IF(BP203&lt;&gt;"",BP203,""))</f>
        <v/>
      </c>
      <c r="BR203" s="167">
        <f t="shared" si="399"/>
        <v>9</v>
      </c>
      <c r="BS203" s="167">
        <f t="shared" si="400"/>
        <v>9</v>
      </c>
      <c r="BT203" s="167">
        <f t="shared" si="401"/>
        <v>9</v>
      </c>
      <c r="BW203" s="164"/>
      <c r="BX203" s="164"/>
      <c r="BY203" s="674"/>
      <c r="BZ203" s="164"/>
      <c r="CA203" s="680"/>
      <c r="CB203" s="164"/>
      <c r="CE203" s="167"/>
      <c r="CG203" s="681"/>
    </row>
    <row r="204" spans="1:85" x14ac:dyDescent="0.25">
      <c r="A204" s="96">
        <v>196</v>
      </c>
      <c r="B204" s="137" t="str">
        <f>D204</f>
        <v>POL 02</v>
      </c>
      <c r="C204" s="137" t="str">
        <f>B204</f>
        <v>POL 02</v>
      </c>
      <c r="D204" s="834" t="s">
        <v>186</v>
      </c>
      <c r="E204" s="832" t="s">
        <v>473</v>
      </c>
      <c r="F204" s="951">
        <v>2</v>
      </c>
      <c r="G204" s="951">
        <v>2</v>
      </c>
      <c r="H204" s="951">
        <v>2</v>
      </c>
      <c r="I204" s="951">
        <v>2</v>
      </c>
      <c r="J204" s="951">
        <v>2</v>
      </c>
      <c r="K204" s="951">
        <v>2</v>
      </c>
      <c r="L204" s="951">
        <v>2</v>
      </c>
      <c r="M204" s="951">
        <v>2</v>
      </c>
      <c r="N204" s="951">
        <v>2</v>
      </c>
      <c r="O204" s="951">
        <v>2</v>
      </c>
      <c r="P204" s="951">
        <v>2</v>
      </c>
      <c r="Q204" s="951">
        <v>2</v>
      </c>
      <c r="R204" s="951">
        <v>2</v>
      </c>
      <c r="T204" s="963">
        <f t="shared" si="540"/>
        <v>2</v>
      </c>
      <c r="U204" s="222"/>
      <c r="V204" s="1098"/>
      <c r="W204" s="963"/>
      <c r="X204" s="1099">
        <f>'Manuell filtrering og justering'!E87</f>
        <v>0</v>
      </c>
      <c r="Y204" s="1159"/>
      <c r="Z204" s="980">
        <f>SUM(AB205:AB206)</f>
        <v>2</v>
      </c>
      <c r="AA204" s="963">
        <f t="shared" si="541"/>
        <v>0</v>
      </c>
      <c r="AB204" s="1066">
        <f>SUM(AB205:AB206)</f>
        <v>2</v>
      </c>
      <c r="AD204" s="171">
        <f t="shared" si="542"/>
        <v>1.1428571428571429E-2</v>
      </c>
      <c r="AE204" s="921">
        <f>IF(SUM(AE205:AE206)&gt;$AD$204,$AD$204,SUM(AE205:AE206))</f>
        <v>0</v>
      </c>
      <c r="AF204" s="921">
        <f>IF(SUM(AF205:AF206)&gt;$AD$204,$AD$204,SUM(AF205:AF206))</f>
        <v>0</v>
      </c>
      <c r="AG204" s="921">
        <f>IF(SUM(AG205:AG206)&gt;$AD$204,$AD$204,SUM(AG205:AG206))</f>
        <v>0</v>
      </c>
      <c r="AI204" s="958">
        <f>IF(SUM(AI205:AI206)&gt;Pol02_credits,Pol02_credits,SUM(AI205:AI206))</f>
        <v>0</v>
      </c>
      <c r="AJ204" s="958">
        <f>IF(SUM(AJ205:AJ206)&gt;Pol02_credits,Pol02_credits,SUM(AJ205:AJ206))</f>
        <v>0</v>
      </c>
      <c r="AK204" s="958">
        <f>IF(SUM(AK205:AK206)&gt;Pol02_credits,Pol02_credits,SUM(AK205:AK206))</f>
        <v>0</v>
      </c>
      <c r="AL204" s="96" t="s">
        <v>426</v>
      </c>
      <c r="AM204" s="292"/>
      <c r="AN204" s="293"/>
      <c r="AO204" s="293"/>
      <c r="AP204" s="293"/>
      <c r="AQ204" s="294"/>
      <c r="AR204" s="139"/>
      <c r="AS204" s="292"/>
      <c r="AT204" s="293"/>
      <c r="AU204" s="293"/>
      <c r="AV204" s="293"/>
      <c r="AW204" s="294"/>
      <c r="AY204" s="188"/>
      <c r="AZ204" s="189"/>
      <c r="BA204" s="189"/>
      <c r="BB204" s="189"/>
      <c r="BC204" s="190">
        <f t="shared" si="543"/>
        <v>0</v>
      </c>
      <c r="BD204" s="182">
        <f t="shared" si="464"/>
        <v>9</v>
      </c>
      <c r="BE204" s="164" t="str">
        <f t="shared" si="544"/>
        <v>N/A</v>
      </c>
      <c r="BF204" s="185"/>
      <c r="BG204" s="182">
        <f>IF(BC204=0,9,IF(AJ204&gt;=BC204,5,IF(AJ204&gt;=BB204,4,IF(AJ204&gt;=BA204,3,IF(AJ204&gt;=AZ204,2,IF(AJ204&lt;AY204,0,1))))))</f>
        <v>9</v>
      </c>
      <c r="BH204" s="164" t="str">
        <f t="shared" si="545"/>
        <v>N/A</v>
      </c>
      <c r="BI204" s="185"/>
      <c r="BJ204" s="182">
        <f t="shared" si="447"/>
        <v>9</v>
      </c>
      <c r="BK204" s="164" t="str">
        <f t="shared" si="546"/>
        <v>N/A</v>
      </c>
      <c r="BL204" s="185"/>
      <c r="BO204" s="167"/>
      <c r="BP204" s="167"/>
      <c r="BQ204" s="167" t="str">
        <f t="shared" si="554"/>
        <v/>
      </c>
      <c r="BR204" s="167">
        <f t="shared" si="399"/>
        <v>9</v>
      </c>
      <c r="BS204" s="167">
        <f t="shared" si="400"/>
        <v>9</v>
      </c>
      <c r="BT204" s="167">
        <f t="shared" si="401"/>
        <v>9</v>
      </c>
      <c r="BW204" s="167" t="str">
        <f>D204</f>
        <v>POL 02</v>
      </c>
      <c r="BX204" s="167" t="str">
        <f>IFERROR(VLOOKUP($E204,'Pre-Assessment Estimator'!$E$11:$AB$226,'Pre-Assessment Estimator'!AB$2,FALSE),"")</f>
        <v>No</v>
      </c>
      <c r="BY204" s="230" t="str">
        <f>IFERROR(VLOOKUP($E204,'Pre-Assessment Estimator'!$E$11:$AI$226,'Pre-Assessment Estimator'!AI$2,FALSE),"")</f>
        <v>Ja</v>
      </c>
      <c r="BZ204" s="167">
        <f>IFERROR(VLOOKUP($BX204,$E$293:$H$326,F$291,FALSE),"")</f>
        <v>1</v>
      </c>
      <c r="CA204" s="680" t="s">
        <v>431</v>
      </c>
      <c r="CB204" s="167"/>
      <c r="CC204" s="96" t="str">
        <f>IFERROR(VLOOKUP($BX204,$E$293:$H$326,I$291,FALSE),"")</f>
        <v/>
      </c>
      <c r="CD204" s="96" t="s">
        <v>437</v>
      </c>
      <c r="CE204" s="167">
        <f>VLOOKUP(CA204,$CA$4:$CB$5,2,FALSE)</f>
        <v>1</v>
      </c>
      <c r="CG204" s="681">
        <f>IF($BX$5=ais_nei,CE204,IF(AND(CA204=$CA$4,BX204=$CC$4),0,BZ204))</f>
        <v>1</v>
      </c>
    </row>
    <row r="205" spans="1:85" x14ac:dyDescent="0.25">
      <c r="A205" s="96">
        <v>197</v>
      </c>
      <c r="B205" s="96" t="str">
        <f t="shared" ref="B205:B206" si="555">$D$204&amp;D205</f>
        <v>POL 02a</v>
      </c>
      <c r="C205" s="96" t="str">
        <f t="shared" ref="C205:C213" si="556">C204</f>
        <v>POL 02</v>
      </c>
      <c r="D205" s="166" t="s">
        <v>693</v>
      </c>
      <c r="E205" s="917" t="s">
        <v>962</v>
      </c>
      <c r="F205" s="775">
        <v>2</v>
      </c>
      <c r="G205" s="775">
        <v>2</v>
      </c>
      <c r="H205" s="775">
        <v>2</v>
      </c>
      <c r="I205" s="775">
        <v>2</v>
      </c>
      <c r="J205" s="775">
        <v>2</v>
      </c>
      <c r="K205" s="775">
        <v>2</v>
      </c>
      <c r="L205" s="775">
        <v>2</v>
      </c>
      <c r="M205" s="775">
        <v>2</v>
      </c>
      <c r="N205" s="775">
        <v>2</v>
      </c>
      <c r="O205" s="775">
        <v>2</v>
      </c>
      <c r="P205" s="775">
        <v>2</v>
      </c>
      <c r="Q205" s="775">
        <v>2</v>
      </c>
      <c r="R205" s="775">
        <v>2</v>
      </c>
      <c r="T205" s="221">
        <f t="shared" si="540"/>
        <v>2</v>
      </c>
      <c r="U205" s="1226">
        <f>IF('Assessment Details'!F25='Assessment Details'!J30,0,IF('Assessment Details'!F25="",0,Poeng!T205))</f>
        <v>0</v>
      </c>
      <c r="V205" s="190"/>
      <c r="W205" s="1035">
        <f>IF('Assessment Details'!F25='Assessment Details'!J30,0,IF('Assessment Details'!F25="",0,Poeng!Z205))</f>
        <v>0</v>
      </c>
      <c r="X205" s="239"/>
      <c r="Y205" s="169">
        <f>IF($Y$4=$Y$6,T205,0)</f>
        <v>0</v>
      </c>
      <c r="Z205" s="168">
        <f>VLOOKUP(B205,'Manuell filtrering og justering'!$A$7:$H$253,'Manuell filtrering og justering'!$H$1,FALSE)</f>
        <v>2</v>
      </c>
      <c r="AA205" s="169">
        <f t="shared" si="541"/>
        <v>0</v>
      </c>
      <c r="AB205" s="1036">
        <f>IF($AC$5='Manuell filtrering og justering'!$J$2,Z205-W205,(T205-AA205))</f>
        <v>2</v>
      </c>
      <c r="AD205" s="171">
        <f t="shared" si="542"/>
        <v>1.1428571428571429E-2</v>
      </c>
      <c r="AE205" s="171">
        <f t="shared" si="548"/>
        <v>0</v>
      </c>
      <c r="AF205" s="171">
        <f t="shared" si="549"/>
        <v>0</v>
      </c>
      <c r="AG205" s="171">
        <f t="shared" si="550"/>
        <v>0</v>
      </c>
      <c r="AI205" s="172">
        <f>IF(VLOOKUP(E205,'Pre-Assessment Estimator'!$E$11:$Z$226,'Pre-Assessment Estimator'!$G$2,FALSE)&gt;AB205,AB205,VLOOKUP(E205,'Pre-Assessment Estimator'!$E$11:$Z$226,'Pre-Assessment Estimator'!$G$2,FALSE))</f>
        <v>0</v>
      </c>
      <c r="AJ205" s="172">
        <f>IF(VLOOKUP(E205,'Pre-Assessment Estimator'!$E$11:$Z$226,'Pre-Assessment Estimator'!$N$2,FALSE)&gt;AB205,AB205,VLOOKUP(E205,'Pre-Assessment Estimator'!$E$11:$Z$226,'Pre-Assessment Estimator'!$N$2,FALSE))</f>
        <v>0</v>
      </c>
      <c r="AK205" s="172">
        <f>IF(VLOOKUP(E205,'Pre-Assessment Estimator'!$E$11:$Z$226,'Pre-Assessment Estimator'!$U$2,FALSE)&gt;AB205,AB205,VLOOKUP(E205,'Pre-Assessment Estimator'!$E$11:$Z$226,'Pre-Assessment Estimator'!$U$2,FALSE))</f>
        <v>0</v>
      </c>
      <c r="AM205" s="292"/>
      <c r="AN205" s="293"/>
      <c r="AO205" s="293"/>
      <c r="AP205" s="293"/>
      <c r="AQ205" s="294"/>
      <c r="AR205" s="139"/>
      <c r="AS205" s="292"/>
      <c r="AT205" s="293"/>
      <c r="AU205" s="293"/>
      <c r="AV205" s="293"/>
      <c r="AW205" s="294"/>
      <c r="AY205" s="188"/>
      <c r="AZ205" s="189"/>
      <c r="BA205" s="189"/>
      <c r="BB205" s="189"/>
      <c r="BC205" s="190"/>
      <c r="BD205" s="182">
        <f t="shared" si="464"/>
        <v>9</v>
      </c>
      <c r="BE205" s="164" t="str">
        <f t="shared" si="544"/>
        <v>N/A</v>
      </c>
      <c r="BF205" s="185"/>
      <c r="BG205" s="182">
        <f t="shared" ref="BG205:BG210" si="557">IF(BC205=0,9,IF(AJ205&gt;=BC205,5,IF(AJ205&gt;=BB205,4,IF(AJ205&gt;=BA205,3,IF(AJ205&gt;=AZ205,2,IF(AJ205&lt;AY205,0,1))))))</f>
        <v>9</v>
      </c>
      <c r="BH205" s="164" t="str">
        <f t="shared" si="545"/>
        <v>N/A</v>
      </c>
      <c r="BI205" s="185"/>
      <c r="BJ205" s="182">
        <f t="shared" si="447"/>
        <v>9</v>
      </c>
      <c r="BK205" s="164" t="str">
        <f t="shared" si="546"/>
        <v>N/A</v>
      </c>
      <c r="BL205" s="185"/>
      <c r="BO205" s="167"/>
      <c r="BP205" s="167"/>
      <c r="BQ205" s="167" t="str">
        <f t="shared" si="554"/>
        <v/>
      </c>
      <c r="BR205" s="167">
        <f t="shared" si="399"/>
        <v>9</v>
      </c>
      <c r="BS205" s="167">
        <f t="shared" si="400"/>
        <v>9</v>
      </c>
      <c r="BT205" s="167">
        <f t="shared" si="401"/>
        <v>9</v>
      </c>
      <c r="BW205" s="167"/>
      <c r="BX205" s="167"/>
      <c r="BY205" s="230"/>
      <c r="BZ205" s="167"/>
      <c r="CA205" s="680"/>
      <c r="CB205" s="167"/>
      <c r="CE205" s="99"/>
      <c r="CG205" s="681"/>
    </row>
    <row r="206" spans="1:85" x14ac:dyDescent="0.25">
      <c r="A206" s="96">
        <v>198</v>
      </c>
      <c r="B206" s="96" t="str">
        <f t="shared" si="555"/>
        <v>POL 02b</v>
      </c>
      <c r="C206" s="96" t="str">
        <f t="shared" si="556"/>
        <v>POL 02</v>
      </c>
      <c r="D206" s="166" t="s">
        <v>696</v>
      </c>
      <c r="E206" s="917" t="s">
        <v>963</v>
      </c>
      <c r="F206" s="775">
        <v>2</v>
      </c>
      <c r="G206" s="775">
        <v>2</v>
      </c>
      <c r="H206" s="775">
        <v>2</v>
      </c>
      <c r="I206" s="775">
        <v>2</v>
      </c>
      <c r="J206" s="775">
        <v>2</v>
      </c>
      <c r="K206" s="775">
        <v>2</v>
      </c>
      <c r="L206" s="775">
        <v>2</v>
      </c>
      <c r="M206" s="775">
        <v>2</v>
      </c>
      <c r="N206" s="775">
        <v>2</v>
      </c>
      <c r="O206" s="775">
        <v>2</v>
      </c>
      <c r="P206" s="775">
        <v>2</v>
      </c>
      <c r="Q206" s="775">
        <v>2</v>
      </c>
      <c r="R206" s="775">
        <v>2</v>
      </c>
      <c r="T206" s="221">
        <f t="shared" si="540"/>
        <v>2</v>
      </c>
      <c r="U206" s="222">
        <f>IF('Assessment Details'!F25='Assessment Details'!J31,0,Poeng!T206)</f>
        <v>2</v>
      </c>
      <c r="V206" s="190"/>
      <c r="W206" s="963">
        <f>IF('Assessment Details'!F25='Assessment Details'!J31,0,Poeng!Z206)</f>
        <v>2</v>
      </c>
      <c r="X206" s="239"/>
      <c r="Y206" s="169">
        <f>IF($Y$4=$Y$6,T206,0)</f>
        <v>0</v>
      </c>
      <c r="Z206" s="168">
        <f>VLOOKUP(B206,'Manuell filtrering og justering'!$A$7:$H$253,'Manuell filtrering og justering'!$H$1,FALSE)</f>
        <v>2</v>
      </c>
      <c r="AA206" s="169">
        <f t="shared" si="541"/>
        <v>2</v>
      </c>
      <c r="AB206" s="1036">
        <f>IF($AC$5='Manuell filtrering og justering'!$J$2,Z206-W206,(T206-AA206))</f>
        <v>0</v>
      </c>
      <c r="AD206" s="171">
        <f t="shared" si="542"/>
        <v>0</v>
      </c>
      <c r="AE206" s="171">
        <f t="shared" si="548"/>
        <v>0</v>
      </c>
      <c r="AF206" s="171">
        <f t="shared" si="549"/>
        <v>0</v>
      </c>
      <c r="AG206" s="171">
        <f t="shared" si="550"/>
        <v>0</v>
      </c>
      <c r="AI206" s="172">
        <f>IF(VLOOKUP(E206,'Pre-Assessment Estimator'!$E$11:$Z$226,'Pre-Assessment Estimator'!$G$2,FALSE)&gt;AB206,AB206,VLOOKUP(E206,'Pre-Assessment Estimator'!$E$11:$Z$226,'Pre-Assessment Estimator'!$G$2,FALSE))</f>
        <v>0</v>
      </c>
      <c r="AJ206" s="172">
        <f>IF(VLOOKUP(E206,'Pre-Assessment Estimator'!$E$11:$Z$226,'Pre-Assessment Estimator'!$N$2,FALSE)&gt;AB206,AB206,VLOOKUP(E206,'Pre-Assessment Estimator'!$E$11:$Z$226,'Pre-Assessment Estimator'!$N$2,FALSE))</f>
        <v>0</v>
      </c>
      <c r="AK206" s="172">
        <f>IF(VLOOKUP(E206,'Pre-Assessment Estimator'!$E$11:$Z$226,'Pre-Assessment Estimator'!$U$2,FALSE)&gt;AB206,AB206,VLOOKUP(E206,'Pre-Assessment Estimator'!$E$11:$Z$226,'Pre-Assessment Estimator'!$U$2,FALSE))</f>
        <v>0</v>
      </c>
      <c r="AM206" s="292"/>
      <c r="AN206" s="293"/>
      <c r="AO206" s="293"/>
      <c r="AP206" s="293"/>
      <c r="AQ206" s="294"/>
      <c r="AR206" s="139"/>
      <c r="AS206" s="292"/>
      <c r="AT206" s="293"/>
      <c r="AU206" s="293"/>
      <c r="AV206" s="293"/>
      <c r="AW206" s="294"/>
      <c r="AY206" s="188"/>
      <c r="AZ206" s="189"/>
      <c r="BA206" s="189"/>
      <c r="BB206" s="189"/>
      <c r="BC206" s="190"/>
      <c r="BD206" s="182">
        <f t="shared" si="464"/>
        <v>9</v>
      </c>
      <c r="BE206" s="164" t="str">
        <f t="shared" si="544"/>
        <v>N/A</v>
      </c>
      <c r="BF206" s="185"/>
      <c r="BG206" s="182">
        <f t="shared" si="557"/>
        <v>9</v>
      </c>
      <c r="BH206" s="164" t="str">
        <f t="shared" si="545"/>
        <v>N/A</v>
      </c>
      <c r="BI206" s="185"/>
      <c r="BJ206" s="182">
        <f t="shared" si="447"/>
        <v>9</v>
      </c>
      <c r="BK206" s="164" t="str">
        <f t="shared" si="546"/>
        <v>N/A</v>
      </c>
      <c r="BL206" s="185"/>
      <c r="BO206" s="167"/>
      <c r="BP206" s="167"/>
      <c r="BQ206" s="167" t="str">
        <f t="shared" si="554"/>
        <v/>
      </c>
      <c r="BR206" s="167">
        <f t="shared" si="399"/>
        <v>9</v>
      </c>
      <c r="BS206" s="167">
        <f t="shared" si="400"/>
        <v>9</v>
      </c>
      <c r="BT206" s="167">
        <f t="shared" si="401"/>
        <v>9</v>
      </c>
      <c r="BW206" s="167"/>
      <c r="BX206" s="167"/>
      <c r="BY206" s="230"/>
      <c r="BZ206" s="167"/>
      <c r="CA206" s="680"/>
      <c r="CB206" s="167"/>
      <c r="CE206" s="99"/>
      <c r="CG206" s="681"/>
    </row>
    <row r="207" spans="1:85" x14ac:dyDescent="0.25">
      <c r="A207" s="96">
        <v>199</v>
      </c>
      <c r="D207" s="701" t="s">
        <v>187</v>
      </c>
      <c r="E207" s="700"/>
      <c r="F207" s="938"/>
      <c r="G207" s="938"/>
      <c r="H207" s="938"/>
      <c r="I207" s="938"/>
      <c r="J207" s="938"/>
      <c r="K207" s="938"/>
      <c r="L207" s="938"/>
      <c r="M207" s="938"/>
      <c r="N207" s="938"/>
      <c r="O207" s="938"/>
      <c r="P207" s="938"/>
      <c r="Q207" s="938"/>
      <c r="R207" s="938"/>
      <c r="T207" s="956"/>
      <c r="U207" s="701"/>
      <c r="V207" s="955"/>
      <c r="W207" s="956"/>
      <c r="X207" s="1102"/>
      <c r="Y207" s="1166"/>
      <c r="Z207" s="168"/>
      <c r="AA207" s="956"/>
      <c r="AB207" s="957"/>
      <c r="AD207" s="171">
        <f t="shared" si="542"/>
        <v>0</v>
      </c>
      <c r="AE207" s="960"/>
      <c r="AF207" s="960"/>
      <c r="AG207" s="960"/>
      <c r="AI207" s="720"/>
      <c r="AJ207" s="720"/>
      <c r="AK207" s="720"/>
      <c r="AM207" s="292"/>
      <c r="AN207" s="293"/>
      <c r="AO207" s="293"/>
      <c r="AP207" s="293"/>
      <c r="AQ207" s="294"/>
      <c r="AR207" s="139"/>
      <c r="AS207" s="292"/>
      <c r="AT207" s="293"/>
      <c r="AU207" s="293"/>
      <c r="AV207" s="293"/>
      <c r="AW207" s="294"/>
      <c r="AY207" s="188"/>
      <c r="AZ207" s="189"/>
      <c r="BA207" s="189"/>
      <c r="BB207" s="189"/>
      <c r="BC207" s="190">
        <f t="shared" si="543"/>
        <v>0</v>
      </c>
      <c r="BD207" s="182">
        <f t="shared" si="464"/>
        <v>9</v>
      </c>
      <c r="BE207" s="164" t="str">
        <f t="shared" si="544"/>
        <v>N/A</v>
      </c>
      <c r="BF207" s="185"/>
      <c r="BG207" s="182">
        <f t="shared" si="557"/>
        <v>9</v>
      </c>
      <c r="BH207" s="164" t="str">
        <f t="shared" si="545"/>
        <v>N/A</v>
      </c>
      <c r="BI207" s="185"/>
      <c r="BJ207" s="182">
        <f t="shared" si="447"/>
        <v>9</v>
      </c>
      <c r="BK207" s="164" t="str">
        <f t="shared" si="546"/>
        <v>N/A</v>
      </c>
      <c r="BL207" s="185"/>
      <c r="BO207" s="167"/>
      <c r="BP207" s="167"/>
      <c r="BQ207" s="167" t="str">
        <f t="shared" si="554"/>
        <v/>
      </c>
      <c r="BR207" s="167">
        <f t="shared" si="399"/>
        <v>9</v>
      </c>
      <c r="BS207" s="167">
        <f t="shared" si="400"/>
        <v>9</v>
      </c>
      <c r="BT207" s="167">
        <f t="shared" si="401"/>
        <v>9</v>
      </c>
      <c r="BW207" s="167" t="str">
        <f>D207</f>
        <v>POL 03</v>
      </c>
      <c r="BX207" s="167" t="str">
        <f>IFERROR(VLOOKUP($E207,'Pre-Assessment Estimator'!$E$11:$AB$226,'Pre-Assessment Estimator'!AB$2,FALSE),"")</f>
        <v/>
      </c>
      <c r="BY207" s="167" t="str">
        <f>IFERROR(VLOOKUP($E207,'Pre-Assessment Estimator'!$E$11:$AI$226,'Pre-Assessment Estimator'!AI$2,FALSE),"")</f>
        <v/>
      </c>
      <c r="BZ207" s="167" t="str">
        <f>IFERROR(VLOOKUP($BX207,$E$293:$H$326,F$291,FALSE),"")</f>
        <v/>
      </c>
      <c r="CA207" s="167" t="str">
        <f>IFERROR(VLOOKUP($BX207,$E$293:$H$326,G$291,FALSE),"")</f>
        <v/>
      </c>
      <c r="CB207" s="167"/>
      <c r="CC207" s="96" t="str">
        <f>IFERROR(VLOOKUP($BX207,$E$293:$H$326,I$291,FALSE),"")</f>
        <v/>
      </c>
    </row>
    <row r="208" spans="1:85" x14ac:dyDescent="0.25">
      <c r="A208" s="96">
        <v>200</v>
      </c>
      <c r="B208" s="137" t="str">
        <f>D208</f>
        <v>POL 04</v>
      </c>
      <c r="C208" s="137" t="str">
        <f>B208</f>
        <v>POL 04</v>
      </c>
      <c r="D208" s="834" t="s">
        <v>188</v>
      </c>
      <c r="E208" s="832" t="s">
        <v>165</v>
      </c>
      <c r="F208" s="951">
        <v>1</v>
      </c>
      <c r="G208" s="951">
        <v>1</v>
      </c>
      <c r="H208" s="951">
        <v>1</v>
      </c>
      <c r="I208" s="951">
        <v>1</v>
      </c>
      <c r="J208" s="951">
        <v>1</v>
      </c>
      <c r="K208" s="951">
        <v>1</v>
      </c>
      <c r="L208" s="951">
        <v>1</v>
      </c>
      <c r="M208" s="951">
        <v>1</v>
      </c>
      <c r="N208" s="951">
        <v>1</v>
      </c>
      <c r="O208" s="951">
        <v>1</v>
      </c>
      <c r="P208" s="951">
        <v>1</v>
      </c>
      <c r="Q208" s="951">
        <v>1</v>
      </c>
      <c r="R208" s="951">
        <v>1</v>
      </c>
      <c r="T208" s="963">
        <f t="shared" ref="T208:T214" si="558">HLOOKUP($E$6,$F$9:$R$231,$A208,FALSE)</f>
        <v>1</v>
      </c>
      <c r="U208" s="222"/>
      <c r="V208" s="1098"/>
      <c r="W208" s="963"/>
      <c r="X208" s="1099">
        <f>'Manuell filtrering og justering'!E89</f>
        <v>0</v>
      </c>
      <c r="Y208" s="1159"/>
      <c r="Z208" s="980">
        <f>SUM(AB209:AB210)</f>
        <v>1</v>
      </c>
      <c r="AA208" s="963">
        <f t="shared" ref="AA208:AA213" si="559">IF(SUM(U208:Y208)&gt;T208,T208,SUM(U208:Y208))</f>
        <v>0</v>
      </c>
      <c r="AB208" s="1066">
        <f>SUM(AB209:AB210)</f>
        <v>1</v>
      </c>
      <c r="AD208" s="171">
        <f t="shared" si="542"/>
        <v>5.7142857142857143E-3</v>
      </c>
      <c r="AE208" s="921">
        <f>IF(SUM(AE209:AE210)&gt;$AD$208,$AD$208,SUM(AE209:AE210))</f>
        <v>0</v>
      </c>
      <c r="AF208" s="921">
        <f>IF(SUM(AF209:AF210)&gt;$AD$208,$AD$208,SUM(AF209:AF210))</f>
        <v>0</v>
      </c>
      <c r="AG208" s="921">
        <f>IF(SUM(AG209:AG210)&gt;$AD$208,$AD$208,SUM(AG209:AG210))</f>
        <v>0</v>
      </c>
      <c r="AI208" s="958">
        <f>IF(SUM(AI209:AI210)&gt;Pol04_credits,Pol04_credits,SUM(AI209:AI210))</f>
        <v>0</v>
      </c>
      <c r="AJ208" s="958">
        <f>IF(SUM(AJ209:AJ210)&gt;Pol04_credits,Pol04_credits,SUM(AJ209:AJ210))</f>
        <v>0</v>
      </c>
      <c r="AK208" s="958">
        <f>IF(SUM(AK209:AK210)&gt;Pol04_credits,Pol04_credits,SUM(AK209:AK210))</f>
        <v>0</v>
      </c>
      <c r="AL208" s="96" t="s">
        <v>426</v>
      </c>
      <c r="AM208" s="292"/>
      <c r="AN208" s="293"/>
      <c r="AO208" s="293"/>
      <c r="AP208" s="293"/>
      <c r="AQ208" s="294"/>
      <c r="AR208" s="139"/>
      <c r="AS208" s="292"/>
      <c r="AT208" s="293"/>
      <c r="AU208" s="293"/>
      <c r="AV208" s="293"/>
      <c r="AW208" s="294"/>
      <c r="AY208" s="188"/>
      <c r="AZ208" s="189"/>
      <c r="BA208" s="189"/>
      <c r="BB208" s="189"/>
      <c r="BC208" s="190">
        <f t="shared" si="543"/>
        <v>0</v>
      </c>
      <c r="BD208" s="182">
        <f t="shared" ref="BD208:BD210" si="560">IF(BC208=0,9,IF(AI208&gt;=BC208,5,IF(AI208&gt;=BB208,4,IF(AI208&gt;=BA208,3,IF(AI208&gt;=AZ208,2,IF(AI208&lt;AY208,0,1))))))</f>
        <v>9</v>
      </c>
      <c r="BE208" s="164" t="str">
        <f t="shared" si="544"/>
        <v>N/A</v>
      </c>
      <c r="BF208" s="185"/>
      <c r="BG208" s="182">
        <f t="shared" si="557"/>
        <v>9</v>
      </c>
      <c r="BH208" s="164" t="str">
        <f t="shared" si="545"/>
        <v>N/A</v>
      </c>
      <c r="BI208" s="185"/>
      <c r="BJ208" s="182">
        <f t="shared" ref="BJ208:BJ210" si="561">IF(BC208=0,9,IF(AK208&gt;=BC208,5,IF(AK208&gt;=BB208,4,IF(AK208&gt;=BA208,3,IF(AK208&gt;=AZ208,2,IF(AK208&lt;AY208,0,1))))))</f>
        <v>9</v>
      </c>
      <c r="BK208" s="164" t="str">
        <f t="shared" si="546"/>
        <v>N/A</v>
      </c>
      <c r="BL208" s="185"/>
      <c r="BO208" s="167"/>
      <c r="BP208" s="167"/>
      <c r="BQ208" s="167" t="str">
        <f t="shared" si="554"/>
        <v/>
      </c>
      <c r="BR208" s="167">
        <f t="shared" si="399"/>
        <v>9</v>
      </c>
      <c r="BS208" s="167">
        <f t="shared" si="400"/>
        <v>9</v>
      </c>
      <c r="BT208" s="167">
        <f t="shared" si="401"/>
        <v>9</v>
      </c>
      <c r="BW208" s="167" t="str">
        <f>D208</f>
        <v>POL 04</v>
      </c>
      <c r="BX208" s="167" t="str">
        <f>IFERROR(VLOOKUP($E208,'Pre-Assessment Estimator'!$E$11:$AB$226,'Pre-Assessment Estimator'!AB$2,FALSE),"")</f>
        <v>No</v>
      </c>
      <c r="BY208" s="230" t="str">
        <f>IFERROR(VLOOKUP($E208,'Pre-Assessment Estimator'!$E$11:$AI$226,'Pre-Assessment Estimator'!AI$2,FALSE),"")</f>
        <v>Ja</v>
      </c>
      <c r="BZ208" s="167">
        <f>IFERROR(VLOOKUP($BX208,$E$293:$H$326,F$291,FALSE),"")</f>
        <v>1</v>
      </c>
      <c r="CA208" s="680" t="s">
        <v>431</v>
      </c>
      <c r="CB208" s="167"/>
      <c r="CC208" s="96" t="str">
        <f>IFERROR(VLOOKUP($BX208,$E$293:$H$326,I$291,FALSE),"")</f>
        <v/>
      </c>
      <c r="CD208" s="96" t="s">
        <v>437</v>
      </c>
      <c r="CE208" s="167">
        <f>VLOOKUP(CA208,$CA$4:$CB$5,2,FALSE)</f>
        <v>1</v>
      </c>
      <c r="CG208" s="681">
        <f>IF($BX$5=ais_nei,CE208,IF(AND(CA208=$CA$4,BX208=$CC$4),0,BZ208))</f>
        <v>1</v>
      </c>
    </row>
    <row r="209" spans="1:85" x14ac:dyDescent="0.25">
      <c r="A209" s="96">
        <v>201</v>
      </c>
      <c r="B209" s="96" t="str">
        <f t="shared" ref="B209:B210" si="562">$D$208&amp;D209</f>
        <v>POL 04a</v>
      </c>
      <c r="C209" s="96" t="str">
        <f t="shared" si="556"/>
        <v>POL 04</v>
      </c>
      <c r="D209" s="166" t="s">
        <v>693</v>
      </c>
      <c r="E209" s="917" t="s">
        <v>904</v>
      </c>
      <c r="F209" s="775">
        <v>1</v>
      </c>
      <c r="G209" s="775">
        <v>1</v>
      </c>
      <c r="H209" s="775">
        <v>1</v>
      </c>
      <c r="I209" s="775">
        <v>1</v>
      </c>
      <c r="J209" s="775">
        <v>1</v>
      </c>
      <c r="K209" s="775">
        <v>1</v>
      </c>
      <c r="L209" s="775">
        <v>1</v>
      </c>
      <c r="M209" s="775">
        <v>1</v>
      </c>
      <c r="N209" s="775">
        <v>1</v>
      </c>
      <c r="O209" s="775">
        <v>1</v>
      </c>
      <c r="P209" s="775">
        <v>1</v>
      </c>
      <c r="Q209" s="775">
        <v>1</v>
      </c>
      <c r="R209" s="775">
        <v>1</v>
      </c>
      <c r="T209" s="221">
        <f t="shared" si="558"/>
        <v>1</v>
      </c>
      <c r="U209" s="222">
        <f>IF('Assessment Details'!F18=AD_Yes,Poeng!T209,0)</f>
        <v>0</v>
      </c>
      <c r="V209" s="168"/>
      <c r="W209" s="963">
        <f>IF('Assessment Details'!F18=AD_Yes,Poeng!Z209,0)</f>
        <v>0</v>
      </c>
      <c r="X209" s="239"/>
      <c r="Y209" s="1158"/>
      <c r="Z209" s="168">
        <f>VLOOKUP(B209,'Manuell filtrering og justering'!$A$7:$H$253,'Manuell filtrering og justering'!$H$1,FALSE)</f>
        <v>1</v>
      </c>
      <c r="AA209" s="169">
        <f t="shared" si="559"/>
        <v>0</v>
      </c>
      <c r="AB209" s="1036">
        <f>IF($AC$5='Manuell filtrering og justering'!$J$2,Z209-W209,(T209-AA209))</f>
        <v>1</v>
      </c>
      <c r="AD209" s="171">
        <f t="shared" si="542"/>
        <v>5.7142857142857143E-3</v>
      </c>
      <c r="AE209" s="171">
        <f t="shared" si="548"/>
        <v>0</v>
      </c>
      <c r="AF209" s="171">
        <f t="shared" si="549"/>
        <v>0</v>
      </c>
      <c r="AG209" s="171">
        <f t="shared" si="550"/>
        <v>0</v>
      </c>
      <c r="AI209" s="172">
        <f>IF(VLOOKUP(E209,'Pre-Assessment Estimator'!$E$11:$Z$226,'Pre-Assessment Estimator'!$G$2,FALSE)&gt;AB209,AB209,VLOOKUP(E209,'Pre-Assessment Estimator'!$E$11:$Z$226,'Pre-Assessment Estimator'!$G$2,FALSE))</f>
        <v>0</v>
      </c>
      <c r="AJ209" s="172">
        <f>IF(VLOOKUP(E209,'Pre-Assessment Estimator'!$E$11:$Z$226,'Pre-Assessment Estimator'!$N$2,FALSE)&gt;AB209,AB209,VLOOKUP(E209,'Pre-Assessment Estimator'!$E$11:$Z$226,'Pre-Assessment Estimator'!$N$2,FALSE))</f>
        <v>0</v>
      </c>
      <c r="AK209" s="172">
        <f>IF(VLOOKUP(E209,'Pre-Assessment Estimator'!$E$11:$Z$226,'Pre-Assessment Estimator'!$U$2,FALSE)&gt;AB209,AB209,VLOOKUP(E209,'Pre-Assessment Estimator'!$E$11:$Z$226,'Pre-Assessment Estimator'!$U$2,FALSE))</f>
        <v>0</v>
      </c>
      <c r="AM209" s="850"/>
      <c r="AN209" s="851"/>
      <c r="AO209" s="851"/>
      <c r="AP209" s="851"/>
      <c r="AQ209" s="843"/>
      <c r="AR209" s="139"/>
      <c r="AS209" s="850"/>
      <c r="AT209" s="851"/>
      <c r="AU209" s="851"/>
      <c r="AV209" s="851"/>
      <c r="AW209" s="843"/>
      <c r="AY209" s="731"/>
      <c r="AZ209" s="733"/>
      <c r="BA209" s="733"/>
      <c r="BB209" s="733"/>
      <c r="BC209" s="852"/>
      <c r="BD209" s="182">
        <f t="shared" si="560"/>
        <v>9</v>
      </c>
      <c r="BE209" s="164" t="str">
        <f t="shared" si="544"/>
        <v>N/A</v>
      </c>
      <c r="BF209" s="185"/>
      <c r="BG209" s="182">
        <f t="shared" si="557"/>
        <v>9</v>
      </c>
      <c r="BH209" s="164" t="str">
        <f t="shared" si="545"/>
        <v>N/A</v>
      </c>
      <c r="BI209" s="185"/>
      <c r="BJ209" s="182">
        <f t="shared" si="561"/>
        <v>9</v>
      </c>
      <c r="BK209" s="164" t="str">
        <f t="shared" si="546"/>
        <v>N/A</v>
      </c>
      <c r="BL209" s="847"/>
      <c r="BO209" s="167"/>
      <c r="BP209" s="167"/>
      <c r="BQ209" s="167" t="str">
        <f t="shared" si="554"/>
        <v/>
      </c>
      <c r="BR209" s="167">
        <f t="shared" si="399"/>
        <v>9</v>
      </c>
      <c r="BS209" s="167">
        <f t="shared" si="400"/>
        <v>9</v>
      </c>
      <c r="BT209" s="167">
        <f t="shared" si="401"/>
        <v>9</v>
      </c>
      <c r="BW209" s="167"/>
      <c r="BX209" s="167"/>
      <c r="BY209" s="230"/>
      <c r="BZ209" s="167"/>
      <c r="CA209" s="680"/>
      <c r="CB209" s="167"/>
      <c r="CE209" s="167"/>
      <c r="CG209" s="681"/>
    </row>
    <row r="210" spans="1:85" x14ac:dyDescent="0.25">
      <c r="A210" s="96">
        <v>202</v>
      </c>
      <c r="B210" s="96" t="str">
        <f t="shared" si="562"/>
        <v>POL 04b</v>
      </c>
      <c r="C210" s="96" t="str">
        <f t="shared" si="556"/>
        <v>POL 04</v>
      </c>
      <c r="D210" s="166" t="s">
        <v>696</v>
      </c>
      <c r="E210" s="917" t="s">
        <v>905</v>
      </c>
      <c r="F210" s="775">
        <v>1</v>
      </c>
      <c r="G210" s="775">
        <v>1</v>
      </c>
      <c r="H210" s="775">
        <v>1</v>
      </c>
      <c r="I210" s="775">
        <v>1</v>
      </c>
      <c r="J210" s="775">
        <v>1</v>
      </c>
      <c r="K210" s="775">
        <v>1</v>
      </c>
      <c r="L210" s="775">
        <v>1</v>
      </c>
      <c r="M210" s="775">
        <v>1</v>
      </c>
      <c r="N210" s="775">
        <v>1</v>
      </c>
      <c r="O210" s="775">
        <v>1</v>
      </c>
      <c r="P210" s="775">
        <v>1</v>
      </c>
      <c r="Q210" s="775">
        <v>1</v>
      </c>
      <c r="R210" s="775">
        <v>1</v>
      </c>
      <c r="T210" s="221">
        <f t="shared" si="558"/>
        <v>1</v>
      </c>
      <c r="U210" s="222">
        <f>IF(U209=1,0,T210)</f>
        <v>1</v>
      </c>
      <c r="V210" s="168"/>
      <c r="W210" s="963">
        <f>IF(W209=1,0,Z210)</f>
        <v>1</v>
      </c>
      <c r="X210" s="239"/>
      <c r="Y210" s="1158"/>
      <c r="Z210" s="168">
        <f>VLOOKUP(B210,'Manuell filtrering og justering'!$A$7:$H$253,'Manuell filtrering og justering'!$H$1,FALSE)</f>
        <v>1</v>
      </c>
      <c r="AA210" s="169">
        <f t="shared" si="559"/>
        <v>1</v>
      </c>
      <c r="AB210" s="1036">
        <f>IF($AC$5='Manuell filtrering og justering'!$J$2,Z210-W210,(T210-AA210))</f>
        <v>0</v>
      </c>
      <c r="AD210" s="171">
        <f t="shared" si="542"/>
        <v>0</v>
      </c>
      <c r="AE210" s="171">
        <f t="shared" si="548"/>
        <v>0</v>
      </c>
      <c r="AF210" s="171">
        <f t="shared" si="549"/>
        <v>0</v>
      </c>
      <c r="AG210" s="171">
        <f t="shared" si="550"/>
        <v>0</v>
      </c>
      <c r="AI210" s="172">
        <f>IF(VLOOKUP(E210,'Pre-Assessment Estimator'!$E$11:$Z$226,'Pre-Assessment Estimator'!$G$2,FALSE)&gt;AB210,AB210,VLOOKUP(E210,'Pre-Assessment Estimator'!$E$11:$Z$226,'Pre-Assessment Estimator'!$G$2,FALSE))</f>
        <v>0</v>
      </c>
      <c r="AJ210" s="172">
        <f>IF(VLOOKUP(E210,'Pre-Assessment Estimator'!$E$11:$Z$226,'Pre-Assessment Estimator'!$N$2,FALSE)&gt;AB210,AB210,VLOOKUP(E210,'Pre-Assessment Estimator'!$E$11:$Z$226,'Pre-Assessment Estimator'!$N$2,FALSE))</f>
        <v>0</v>
      </c>
      <c r="AK210" s="172">
        <f>IF(VLOOKUP(E210,'Pre-Assessment Estimator'!$E$11:$Z$226,'Pre-Assessment Estimator'!$U$2,FALSE)&gt;AB210,AB210,VLOOKUP(E210,'Pre-Assessment Estimator'!$E$11:$Z$226,'Pre-Assessment Estimator'!$U$2,FALSE))</f>
        <v>0</v>
      </c>
      <c r="AM210" s="850"/>
      <c r="AN210" s="851"/>
      <c r="AO210" s="851"/>
      <c r="AP210" s="851"/>
      <c r="AQ210" s="843"/>
      <c r="AR210" s="139"/>
      <c r="AS210" s="850"/>
      <c r="AT210" s="851"/>
      <c r="AU210" s="851"/>
      <c r="AV210" s="851"/>
      <c r="AW210" s="843"/>
      <c r="AY210" s="731"/>
      <c r="AZ210" s="733"/>
      <c r="BA210" s="733"/>
      <c r="BB210" s="733"/>
      <c r="BC210" s="852"/>
      <c r="BD210" s="182">
        <f t="shared" si="560"/>
        <v>9</v>
      </c>
      <c r="BE210" s="164" t="str">
        <f t="shared" si="544"/>
        <v>N/A</v>
      </c>
      <c r="BF210" s="185"/>
      <c r="BG210" s="182">
        <f t="shared" si="557"/>
        <v>9</v>
      </c>
      <c r="BH210" s="164" t="str">
        <f t="shared" si="545"/>
        <v>N/A</v>
      </c>
      <c r="BI210" s="185"/>
      <c r="BJ210" s="182">
        <f t="shared" si="561"/>
        <v>9</v>
      </c>
      <c r="BK210" s="164" t="str">
        <f t="shared" si="546"/>
        <v>N/A</v>
      </c>
      <c r="BL210" s="847"/>
      <c r="BO210" s="167"/>
      <c r="BP210" s="167"/>
      <c r="BQ210" s="167" t="str">
        <f t="shared" si="554"/>
        <v/>
      </c>
      <c r="BR210" s="167">
        <f t="shared" si="399"/>
        <v>9</v>
      </c>
      <c r="BS210" s="167">
        <f t="shared" si="400"/>
        <v>9</v>
      </c>
      <c r="BT210" s="167">
        <f t="shared" si="401"/>
        <v>9</v>
      </c>
      <c r="BW210" s="167"/>
      <c r="BX210" s="167"/>
      <c r="BY210" s="230"/>
      <c r="BZ210" s="167"/>
      <c r="CA210" s="680"/>
      <c r="CB210" s="167"/>
      <c r="CE210" s="167"/>
      <c r="CG210" s="681"/>
    </row>
    <row r="211" spans="1:85" ht="15.75" thickBot="1" x14ac:dyDescent="0.3">
      <c r="A211" s="96">
        <v>203</v>
      </c>
      <c r="B211" s="137" t="str">
        <f>D211</f>
        <v>POL 05</v>
      </c>
      <c r="C211" s="137" t="str">
        <f>B211</f>
        <v>POL 05</v>
      </c>
      <c r="D211" s="834" t="s">
        <v>189</v>
      </c>
      <c r="E211" s="832" t="s">
        <v>908</v>
      </c>
      <c r="F211" s="951">
        <v>1</v>
      </c>
      <c r="G211" s="951">
        <v>1</v>
      </c>
      <c r="H211" s="1230">
        <v>0</v>
      </c>
      <c r="I211" s="951">
        <v>1</v>
      </c>
      <c r="J211" s="951">
        <v>1</v>
      </c>
      <c r="K211" s="951">
        <v>1</v>
      </c>
      <c r="L211" s="951">
        <v>1</v>
      </c>
      <c r="M211" s="951">
        <v>1</v>
      </c>
      <c r="N211" s="951">
        <v>1</v>
      </c>
      <c r="O211" s="951">
        <v>1</v>
      </c>
      <c r="P211" s="951">
        <v>1</v>
      </c>
      <c r="Q211" s="951">
        <v>1</v>
      </c>
      <c r="R211" s="951">
        <v>1</v>
      </c>
      <c r="T211" s="963">
        <f t="shared" si="558"/>
        <v>1</v>
      </c>
      <c r="U211" s="222">
        <f>IF(ADIND_option02n=AD_no,Poeng!T211,0)</f>
        <v>0</v>
      </c>
      <c r="V211" s="1098"/>
      <c r="W211" s="963"/>
      <c r="X211" s="1099">
        <f>'Manuell filtrering og justering'!E90</f>
        <v>0</v>
      </c>
      <c r="Y211" s="1159"/>
      <c r="Z211" s="980">
        <f>SUM(AB212:AB213)</f>
        <v>1</v>
      </c>
      <c r="AA211" s="963">
        <f t="shared" si="559"/>
        <v>0</v>
      </c>
      <c r="AB211" s="1066">
        <f>SUM(AB212:AB213)</f>
        <v>1</v>
      </c>
      <c r="AD211" s="171">
        <f t="shared" si="542"/>
        <v>5.7142857142857143E-3</v>
      </c>
      <c r="AE211" s="921">
        <f>IF(SUM(AE212:AE213)&gt;$AD$211,$AD$211,SUM(AE212:AE213))</f>
        <v>0</v>
      </c>
      <c r="AF211" s="921">
        <f>IF(SUM(AF212:AF213)&gt;$AD$211,$AD$211,SUM(AF212:AF213))</f>
        <v>0</v>
      </c>
      <c r="AG211" s="921">
        <f>IF(SUM(AG212:AG213)&gt;$AD$211,$AD$211,SUM(AG212:AG213))</f>
        <v>0</v>
      </c>
      <c r="AI211" s="958">
        <f>IF(SUM(AI212:AI213)&gt;Pol05_credits,Pol05_credits,SUM(AI212:AI213))</f>
        <v>0</v>
      </c>
      <c r="AJ211" s="958">
        <f>IF(SUM(AJ212:AJ213)&gt;Pol05_credits,Pol05_credits,SUM(AJ212:AJ213))</f>
        <v>0</v>
      </c>
      <c r="AK211" s="958">
        <f>IF(SUM(AK212:AK213)&gt;Pol05_credits,Pol05_credits,SUM(AK212:AK213))</f>
        <v>0</v>
      </c>
      <c r="AL211" s="96" t="s">
        <v>426</v>
      </c>
      <c r="AM211" s="295"/>
      <c r="AN211" s="296"/>
      <c r="AO211" s="296"/>
      <c r="AP211" s="296"/>
      <c r="AQ211" s="297"/>
      <c r="AR211" s="139"/>
      <c r="AS211" s="295"/>
      <c r="AT211" s="296"/>
      <c r="AU211" s="296"/>
      <c r="AV211" s="296"/>
      <c r="AW211" s="297"/>
      <c r="AY211" s="194"/>
      <c r="AZ211" s="196"/>
      <c r="BA211" s="196"/>
      <c r="BB211" s="196"/>
      <c r="BC211" s="197">
        <f t="shared" si="543"/>
        <v>0</v>
      </c>
      <c r="BD211" s="198">
        <f t="shared" si="464"/>
        <v>9</v>
      </c>
      <c r="BE211" s="164" t="str">
        <f t="shared" si="544"/>
        <v>N/A</v>
      </c>
      <c r="BF211" s="200"/>
      <c r="BG211" s="198">
        <f>IF(BC211=0,9,IF(AJ211&gt;=BC211,5,IF(AJ211&gt;=BB211,4,IF(AJ211&gt;=BA211,3,IF(AJ211&gt;=AZ211,2,IF(AJ211&lt;AY211,0,1))))))</f>
        <v>9</v>
      </c>
      <c r="BH211" s="164" t="str">
        <f t="shared" si="545"/>
        <v>N/A</v>
      </c>
      <c r="BI211" s="200"/>
      <c r="BJ211" s="198">
        <f t="shared" si="447"/>
        <v>9</v>
      </c>
      <c r="BK211" s="164" t="str">
        <f t="shared" si="546"/>
        <v>N/A</v>
      </c>
      <c r="BL211" s="200"/>
      <c r="BO211" s="167"/>
      <c r="BP211" s="167"/>
      <c r="BQ211" s="167" t="str">
        <f t="shared" si="554"/>
        <v/>
      </c>
      <c r="BR211" s="167">
        <f t="shared" si="399"/>
        <v>9</v>
      </c>
      <c r="BS211" s="167">
        <f t="shared" si="400"/>
        <v>9</v>
      </c>
      <c r="BT211" s="167">
        <f t="shared" si="401"/>
        <v>9</v>
      </c>
      <c r="BW211" s="167" t="str">
        <f>D211</f>
        <v>POL 05</v>
      </c>
      <c r="BX211" s="167" t="str">
        <f>IFERROR(VLOOKUP($E211,'Pre-Assessment Estimator'!$E$11:$AB$226,'Pre-Assessment Estimator'!AB$2,FALSE),"")</f>
        <v>No</v>
      </c>
      <c r="BY211" s="230" t="str">
        <f>IFERROR(VLOOKUP($E211,'Pre-Assessment Estimator'!$E$11:$AI$226,'Pre-Assessment Estimator'!AI$2,FALSE),"")</f>
        <v>Ja</v>
      </c>
      <c r="BZ211" s="167">
        <f>IFERROR(VLOOKUP($BX211,$E$293:$H$326,F$291,FALSE),"")</f>
        <v>1</v>
      </c>
      <c r="CA211" s="680" t="s">
        <v>431</v>
      </c>
      <c r="CB211" s="167"/>
      <c r="CC211" s="96" t="str">
        <f>IFERROR(VLOOKUP($BX211,$E$293:$H$326,I$291,FALSE),"")</f>
        <v/>
      </c>
      <c r="CD211" s="96" t="s">
        <v>404</v>
      </c>
      <c r="CE211" s="167">
        <f>VLOOKUP(CA211,$CA$4:$CB$5,2,FALSE)</f>
        <v>1</v>
      </c>
      <c r="CG211" s="681">
        <f>IF($BX$5=ais_nei,CE211,IF(AND(CA211=$CA$4,BX211=$CC$4),0,BZ211))</f>
        <v>1</v>
      </c>
    </row>
    <row r="212" spans="1:85" x14ac:dyDescent="0.25">
      <c r="A212" s="96">
        <v>204</v>
      </c>
      <c r="B212" s="96" t="str">
        <f t="shared" ref="B212:B213" si="563">$D$211&amp;D212</f>
        <v>POL 05a</v>
      </c>
      <c r="C212" s="96" t="str">
        <f t="shared" si="556"/>
        <v>POL 05</v>
      </c>
      <c r="D212" s="166" t="s">
        <v>693</v>
      </c>
      <c r="E212" s="917" t="s">
        <v>906</v>
      </c>
      <c r="F212" s="775">
        <v>1</v>
      </c>
      <c r="G212" s="775">
        <v>1</v>
      </c>
      <c r="H212" s="1022">
        <v>0</v>
      </c>
      <c r="I212" s="775">
        <v>1</v>
      </c>
      <c r="J212" s="775">
        <v>1</v>
      </c>
      <c r="K212" s="775">
        <v>1</v>
      </c>
      <c r="L212" s="775">
        <v>1</v>
      </c>
      <c r="M212" s="775">
        <v>1</v>
      </c>
      <c r="N212" s="775">
        <v>1</v>
      </c>
      <c r="O212" s="775">
        <v>1</v>
      </c>
      <c r="P212" s="775">
        <v>1</v>
      </c>
      <c r="Q212" s="775">
        <v>1</v>
      </c>
      <c r="R212" s="775">
        <v>1</v>
      </c>
      <c r="T212" s="221">
        <f t="shared" si="558"/>
        <v>1</v>
      </c>
      <c r="U212" s="728">
        <f>IF('Assessment Details'!F27=AD_Yes,Poeng!T212,0)</f>
        <v>0</v>
      </c>
      <c r="V212" s="1101">
        <f>IF(ADIND_option02n=AD_no,T212,0)</f>
        <v>0</v>
      </c>
      <c r="W212" s="1106">
        <f>IF('Assessment Details'!F27=AD_Yes,Poeng!Z212,0)</f>
        <v>0</v>
      </c>
      <c r="X212" s="1103"/>
      <c r="Y212" s="169">
        <f>IF($Y$4=$Y$6,T212,0)</f>
        <v>0</v>
      </c>
      <c r="Z212" s="168">
        <f>VLOOKUP(B212,'Manuell filtrering og justering'!$A$7:$H$253,'Manuell filtrering og justering'!$H$1,FALSE)</f>
        <v>1</v>
      </c>
      <c r="AA212" s="169">
        <f t="shared" si="559"/>
        <v>0</v>
      </c>
      <c r="AB212" s="1036">
        <f>IF($AC$5='Manuell filtrering og justering'!$J$2,Z212-W212,(T212-AA212))</f>
        <v>1</v>
      </c>
      <c r="AD212" s="171">
        <f t="shared" si="542"/>
        <v>5.7142857142857143E-3</v>
      </c>
      <c r="AE212" s="171">
        <f t="shared" si="548"/>
        <v>0</v>
      </c>
      <c r="AF212" s="171">
        <f t="shared" si="549"/>
        <v>0</v>
      </c>
      <c r="AG212" s="171">
        <f t="shared" si="550"/>
        <v>0</v>
      </c>
      <c r="AI212" s="172">
        <f>IF(VLOOKUP(E212,'Pre-Assessment Estimator'!$E$11:$Z$226,'Pre-Assessment Estimator'!$G$2,FALSE)&gt;AB212,AB212,VLOOKUP(E212,'Pre-Assessment Estimator'!$E$11:$Z$226,'Pre-Assessment Estimator'!$G$2,FALSE))</f>
        <v>0</v>
      </c>
      <c r="AJ212" s="172">
        <f>IF(VLOOKUP(E212,'Pre-Assessment Estimator'!$E$11:$Z$226,'Pre-Assessment Estimator'!$N$2,FALSE)&gt;AB212,AB212,VLOOKUP(E212,'Pre-Assessment Estimator'!$E$11:$Z$226,'Pre-Assessment Estimator'!$N$2,FALSE))</f>
        <v>0</v>
      </c>
      <c r="AK212" s="172">
        <f>IF(VLOOKUP(E212,'Pre-Assessment Estimator'!$E$11:$Z$226,'Pre-Assessment Estimator'!$U$2,FALSE)&gt;AB212,AB212,VLOOKUP(E212,'Pre-Assessment Estimator'!$E$11:$Z$226,'Pre-Assessment Estimator'!$U$2,FALSE))</f>
        <v>0</v>
      </c>
      <c r="AM212" s="850"/>
      <c r="AN212" s="851"/>
      <c r="AO212" s="851"/>
      <c r="AP212" s="851"/>
      <c r="AQ212" s="843"/>
      <c r="AR212" s="139"/>
      <c r="AS212" s="850"/>
      <c r="AT212" s="851"/>
      <c r="AU212" s="851"/>
      <c r="AV212" s="851"/>
      <c r="AW212" s="843"/>
      <c r="AY212" s="731"/>
      <c r="AZ212" s="733"/>
      <c r="BA212" s="733"/>
      <c r="BB212" s="733"/>
      <c r="BC212" s="852"/>
      <c r="BD212" s="182">
        <f t="shared" si="464"/>
        <v>9</v>
      </c>
      <c r="BE212" s="164" t="str">
        <f t="shared" si="544"/>
        <v>N/A</v>
      </c>
      <c r="BF212" s="185"/>
      <c r="BG212" s="182">
        <f t="shared" ref="BG212:BG213" si="564">IF(BC212=0,9,IF(AJ212&gt;=BC212,5,IF(AJ212&gt;=BB212,4,IF(AJ212&gt;=BA212,3,IF(AJ212&gt;=AZ212,2,IF(AJ212&lt;AY212,0,1))))))</f>
        <v>9</v>
      </c>
      <c r="BH212" s="164" t="str">
        <f t="shared" si="545"/>
        <v>N/A</v>
      </c>
      <c r="BI212" s="185"/>
      <c r="BJ212" s="182">
        <f t="shared" si="447"/>
        <v>9</v>
      </c>
      <c r="BK212" s="164" t="str">
        <f t="shared" si="546"/>
        <v>N/A</v>
      </c>
      <c r="BL212" s="847"/>
      <c r="BO212" s="167"/>
      <c r="BP212" s="167"/>
      <c r="BQ212" s="167" t="str">
        <f t="shared" si="554"/>
        <v/>
      </c>
      <c r="BR212" s="167">
        <f t="shared" si="399"/>
        <v>9</v>
      </c>
      <c r="BS212" s="167">
        <f t="shared" si="400"/>
        <v>9</v>
      </c>
      <c r="BT212" s="167">
        <f t="shared" si="401"/>
        <v>9</v>
      </c>
      <c r="BW212" s="314"/>
      <c r="BX212" s="314"/>
      <c r="BY212" s="853"/>
      <c r="BZ212" s="314"/>
      <c r="CA212" s="680"/>
      <c r="CB212" s="314"/>
      <c r="CE212" s="99"/>
      <c r="CG212" s="681"/>
    </row>
    <row r="213" spans="1:85" ht="15.75" thickBot="1" x14ac:dyDescent="0.3">
      <c r="A213" s="96">
        <v>205</v>
      </c>
      <c r="B213" s="96" t="str">
        <f t="shared" si="563"/>
        <v>POL 05b</v>
      </c>
      <c r="C213" s="96" t="str">
        <f t="shared" si="556"/>
        <v>POL 05</v>
      </c>
      <c r="D213" s="229" t="s">
        <v>696</v>
      </c>
      <c r="E213" s="917" t="s">
        <v>907</v>
      </c>
      <c r="F213" s="944">
        <v>1</v>
      </c>
      <c r="G213" s="944">
        <v>1</v>
      </c>
      <c r="H213" s="1229">
        <v>0</v>
      </c>
      <c r="I213" s="944">
        <v>1</v>
      </c>
      <c r="J213" s="944">
        <v>1</v>
      </c>
      <c r="K213" s="944">
        <v>1</v>
      </c>
      <c r="L213" s="944">
        <v>1</v>
      </c>
      <c r="M213" s="944">
        <v>1</v>
      </c>
      <c r="N213" s="944">
        <v>1</v>
      </c>
      <c r="O213" s="944">
        <v>1</v>
      </c>
      <c r="P213" s="944">
        <v>1</v>
      </c>
      <c r="Q213" s="944">
        <v>1</v>
      </c>
      <c r="R213" s="944">
        <v>1</v>
      </c>
      <c r="T213" s="221">
        <f t="shared" si="558"/>
        <v>1</v>
      </c>
      <c r="U213" s="222">
        <f>IF(U212=1,0,T213)</f>
        <v>1</v>
      </c>
      <c r="V213" s="1101">
        <f>IF(ADIND_option02n=AD_no,T213,0)</f>
        <v>0</v>
      </c>
      <c r="W213" s="1106">
        <f>IF(W212=1,0,Z213)</f>
        <v>1</v>
      </c>
      <c r="X213" s="1103"/>
      <c r="Y213" s="169">
        <f>IF($Y$4=$Y$6,T213,0)</f>
        <v>0</v>
      </c>
      <c r="Z213" s="168">
        <f>VLOOKUP(B213,'Manuell filtrering og justering'!$A$7:$H$253,'Manuell filtrering og justering'!$H$1,FALSE)</f>
        <v>1</v>
      </c>
      <c r="AA213" s="169">
        <f t="shared" si="559"/>
        <v>1</v>
      </c>
      <c r="AB213" s="1036">
        <f>IF($AC$5='Manuell filtrering og justering'!$J$2,Z213-W213,(T213-AA213))</f>
        <v>0</v>
      </c>
      <c r="AD213" s="171">
        <f t="shared" si="542"/>
        <v>0</v>
      </c>
      <c r="AE213" s="171">
        <f t="shared" si="548"/>
        <v>0</v>
      </c>
      <c r="AF213" s="171">
        <f t="shared" si="549"/>
        <v>0</v>
      </c>
      <c r="AG213" s="171">
        <f t="shared" si="550"/>
        <v>0</v>
      </c>
      <c r="AI213" s="172">
        <f>IF(VLOOKUP(E213,'Pre-Assessment Estimator'!$E$11:$Z$226,'Pre-Assessment Estimator'!$G$2,FALSE)&gt;AB213,AB213,VLOOKUP(E213,'Pre-Assessment Estimator'!$E$11:$Z$226,'Pre-Assessment Estimator'!$G$2,FALSE))</f>
        <v>0</v>
      </c>
      <c r="AJ213" s="172">
        <f>IF(VLOOKUP(E213,'Pre-Assessment Estimator'!$E$11:$Z$226,'Pre-Assessment Estimator'!$N$2,FALSE)&gt;AB213,AB213,VLOOKUP(E213,'Pre-Assessment Estimator'!$E$11:$Z$226,'Pre-Assessment Estimator'!$N$2,FALSE))</f>
        <v>0</v>
      </c>
      <c r="AK213" s="172">
        <f>IF(VLOOKUP(E213,'Pre-Assessment Estimator'!$E$11:$Z$226,'Pre-Assessment Estimator'!$U$2,FALSE)&gt;AB213,AB213,VLOOKUP(E213,'Pre-Assessment Estimator'!$E$11:$Z$226,'Pre-Assessment Estimator'!$U$2,FALSE))</f>
        <v>0</v>
      </c>
      <c r="AM213" s="850"/>
      <c r="AN213" s="851"/>
      <c r="AO213" s="851"/>
      <c r="AP213" s="851"/>
      <c r="AQ213" s="843"/>
      <c r="AR213" s="139"/>
      <c r="AS213" s="850"/>
      <c r="AT213" s="851"/>
      <c r="AU213" s="851"/>
      <c r="AV213" s="851"/>
      <c r="AW213" s="843"/>
      <c r="AY213" s="731"/>
      <c r="AZ213" s="733"/>
      <c r="BA213" s="733"/>
      <c r="BB213" s="733"/>
      <c r="BC213" s="852"/>
      <c r="BD213" s="182">
        <f t="shared" si="464"/>
        <v>9</v>
      </c>
      <c r="BE213" s="164" t="str">
        <f t="shared" si="544"/>
        <v>N/A</v>
      </c>
      <c r="BF213" s="185"/>
      <c r="BG213" s="182">
        <f t="shared" si="564"/>
        <v>9</v>
      </c>
      <c r="BH213" s="164" t="str">
        <f t="shared" si="545"/>
        <v>N/A</v>
      </c>
      <c r="BI213" s="185"/>
      <c r="BJ213" s="182">
        <f t="shared" si="447"/>
        <v>9</v>
      </c>
      <c r="BK213" s="164" t="str">
        <f t="shared" si="546"/>
        <v>N/A</v>
      </c>
      <c r="BL213" s="847"/>
      <c r="BO213" s="167"/>
      <c r="BP213" s="167"/>
      <c r="BQ213" s="167" t="str">
        <f t="shared" si="554"/>
        <v/>
      </c>
      <c r="BR213" s="167">
        <f t="shared" si="399"/>
        <v>9</v>
      </c>
      <c r="BS213" s="167">
        <f t="shared" si="400"/>
        <v>9</v>
      </c>
      <c r="BT213" s="167">
        <f t="shared" si="401"/>
        <v>9</v>
      </c>
      <c r="BW213" s="314"/>
      <c r="BX213" s="314"/>
      <c r="BY213" s="853"/>
      <c r="BZ213" s="314"/>
      <c r="CA213" s="680"/>
      <c r="CB213" s="314"/>
      <c r="CE213" s="99"/>
      <c r="CG213" s="681"/>
    </row>
    <row r="214" spans="1:85" ht="15.75" thickBot="1" x14ac:dyDescent="0.3">
      <c r="A214" s="96">
        <v>206</v>
      </c>
      <c r="B214" s="96" t="s">
        <v>890</v>
      </c>
      <c r="D214" s="711"/>
      <c r="E214" s="710" t="s">
        <v>214</v>
      </c>
      <c r="F214" s="774">
        <f t="shared" ref="F214:R214" si="565">F200+F204+F208+F211</f>
        <v>7</v>
      </c>
      <c r="G214" s="774">
        <f t="shared" si="565"/>
        <v>7</v>
      </c>
      <c r="H214" s="774">
        <f t="shared" si="565"/>
        <v>6</v>
      </c>
      <c r="I214" s="774">
        <f t="shared" si="565"/>
        <v>7</v>
      </c>
      <c r="J214" s="774">
        <f t="shared" si="565"/>
        <v>7</v>
      </c>
      <c r="K214" s="774">
        <f t="shared" si="565"/>
        <v>7</v>
      </c>
      <c r="L214" s="774">
        <f t="shared" si="565"/>
        <v>7</v>
      </c>
      <c r="M214" s="774">
        <f t="shared" si="565"/>
        <v>7</v>
      </c>
      <c r="N214" s="774">
        <f t="shared" si="565"/>
        <v>7</v>
      </c>
      <c r="O214" s="774">
        <f t="shared" si="565"/>
        <v>7</v>
      </c>
      <c r="P214" s="774">
        <f t="shared" si="565"/>
        <v>7</v>
      </c>
      <c r="Q214" s="774">
        <f t="shared" ref="Q214" si="566">Q200+Q204+Q208+Q211</f>
        <v>7</v>
      </c>
      <c r="R214" s="774">
        <f t="shared" si="565"/>
        <v>7</v>
      </c>
      <c r="T214" s="226">
        <f t="shared" si="558"/>
        <v>7</v>
      </c>
      <c r="U214" s="204"/>
      <c r="V214" s="206"/>
      <c r="W214" s="207"/>
      <c r="X214" s="1104"/>
      <c r="Y214" s="1161"/>
      <c r="Z214" s="206"/>
      <c r="AA214" s="774">
        <f>AA200+AA204+AA208+AA211</f>
        <v>0</v>
      </c>
      <c r="AB214" s="774">
        <f>AB200+AB204+AB208+AB211</f>
        <v>7</v>
      </c>
      <c r="AD214" s="208">
        <f>AD200+AD204+AD208+AD211</f>
        <v>0.04</v>
      </c>
      <c r="AE214" s="208">
        <f>AE200+AE204+AE208+AE211</f>
        <v>0</v>
      </c>
      <c r="AF214" s="208">
        <f>AF200+AF204+AF208+AF211</f>
        <v>0</v>
      </c>
      <c r="AG214" s="208">
        <f>AG200+AG204+AG208+AG211</f>
        <v>0</v>
      </c>
      <c r="AI214" s="44">
        <f>AI200+AI204+AI208+AI211</f>
        <v>0</v>
      </c>
      <c r="AJ214" s="44">
        <f>AJ200+AJ204+AJ208+AJ211</f>
        <v>0</v>
      </c>
      <c r="AK214" s="44">
        <f>AK200+AK204+AK208+AK211</f>
        <v>0</v>
      </c>
      <c r="AM214" s="139"/>
      <c r="AN214" s="139"/>
      <c r="AO214" s="139"/>
      <c r="AP214" s="139"/>
      <c r="AQ214" s="139"/>
      <c r="AR214" s="139"/>
      <c r="AS214" s="139"/>
      <c r="AT214" s="139"/>
      <c r="AU214" s="139"/>
      <c r="AV214" s="139"/>
      <c r="AW214" s="139"/>
      <c r="AY214" s="97"/>
      <c r="AZ214" s="209"/>
      <c r="BA214" s="97"/>
      <c r="BB214" s="97"/>
      <c r="BC214" s="97"/>
      <c r="BW214" s="202"/>
      <c r="BX214" s="202" t="str">
        <f>IFERROR(VLOOKUP($E214,'Pre-Assessment Estimator'!$E$11:$AB$226,'Pre-Assessment Estimator'!AB$2,FALSE),"")</f>
        <v/>
      </c>
      <c r="BY214" s="202" t="str">
        <f>IFERROR(VLOOKUP($E214,'Pre-Assessment Estimator'!$E$11:$AI$226,'Pre-Assessment Estimator'!AI$2,FALSE),"")</f>
        <v/>
      </c>
      <c r="BZ214" s="202" t="str">
        <f t="shared" ref="BZ214:BZ225" si="567">IFERROR(VLOOKUP($BX214,$E$293:$H$326,F$291,FALSE),"")</f>
        <v/>
      </c>
      <c r="CA214" s="202" t="str">
        <f t="shared" ref="CA214:CA225" si="568">IFERROR(VLOOKUP($BX214,$E$293:$H$326,G$291,FALSE),"")</f>
        <v/>
      </c>
      <c r="CB214" s="202"/>
      <c r="CC214" s="96" t="str">
        <f t="shared" ref="CC214:CC225" si="569">IFERROR(VLOOKUP($BX214,$E$293:$H$326,I$291,FALSE),"")</f>
        <v/>
      </c>
    </row>
    <row r="215" spans="1:85" ht="15.75" thickBot="1" x14ac:dyDescent="0.3">
      <c r="A215" s="96">
        <v>207</v>
      </c>
      <c r="AI215" s="3"/>
      <c r="AJ215" s="3"/>
      <c r="AK215" s="3"/>
      <c r="AM215" s="139"/>
      <c r="AN215" s="139"/>
      <c r="AO215" s="139"/>
      <c r="AP215" s="139"/>
      <c r="AQ215" s="139"/>
      <c r="AR215" s="139"/>
      <c r="AS215" s="139"/>
      <c r="AT215" s="139"/>
      <c r="AU215" s="139"/>
      <c r="AV215" s="139"/>
      <c r="AW215" s="139"/>
      <c r="AY215" s="97"/>
      <c r="AZ215" s="97"/>
      <c r="BA215" s="97"/>
      <c r="BB215" s="97"/>
      <c r="BC215" s="97"/>
      <c r="BX215" s="96" t="str">
        <f>IFERROR(VLOOKUP($E215,'Pre-Assessment Estimator'!$E$11:$AB$226,'Pre-Assessment Estimator'!AB$2,FALSE),"")</f>
        <v/>
      </c>
      <c r="BY215" s="96" t="str">
        <f>IFERROR(VLOOKUP($E215,'Pre-Assessment Estimator'!$E$11:$AI$226,'Pre-Assessment Estimator'!AI$2,FALSE),"")</f>
        <v/>
      </c>
      <c r="BZ215" s="96" t="str">
        <f t="shared" si="567"/>
        <v/>
      </c>
      <c r="CA215" s="96" t="str">
        <f t="shared" si="568"/>
        <v/>
      </c>
      <c r="CC215" s="96" t="str">
        <f t="shared" si="569"/>
        <v/>
      </c>
    </row>
    <row r="216" spans="1:85" ht="60.75" thickBot="1" x14ac:dyDescent="0.3">
      <c r="A216" s="96">
        <v>208</v>
      </c>
      <c r="D216" s="151"/>
      <c r="E216" s="152" t="s">
        <v>226</v>
      </c>
      <c r="F216" s="1241" t="str">
        <f>$F$9</f>
        <v>Office</v>
      </c>
      <c r="G216" s="1241" t="str">
        <f>$G$9</f>
        <v>Retail</v>
      </c>
      <c r="H216" s="1245" t="str">
        <f>$H$9</f>
        <v>Residential</v>
      </c>
      <c r="I216" s="1241" t="str">
        <f>$I$9</f>
        <v>Industrial</v>
      </c>
      <c r="J216" s="1243" t="str">
        <f>$J$9</f>
        <v>Healthcare</v>
      </c>
      <c r="K216" s="1243" t="str">
        <f>$K$9</f>
        <v>Prison</v>
      </c>
      <c r="L216" s="1243" t="str">
        <f>$L$9</f>
        <v>Law Court</v>
      </c>
      <c r="M216" s="1247" t="str">
        <f>$M$9</f>
        <v>Residential institution (long term stay)</v>
      </c>
      <c r="N216" s="918" t="str">
        <f>$N$9</f>
        <v>Residential institution (short term stay)</v>
      </c>
      <c r="O216" s="918" t="str">
        <f>$O$9</f>
        <v>Non-residential institution</v>
      </c>
      <c r="P216" s="918" t="str">
        <f>$P$9</f>
        <v>Assembly and leisure</v>
      </c>
      <c r="Q216" s="1243" t="str">
        <f>$Q$9</f>
        <v>Education</v>
      </c>
      <c r="R216" s="857" t="str">
        <f>$R$9</f>
        <v>Other</v>
      </c>
      <c r="T216" s="138" t="str">
        <f>$E$6</f>
        <v>Office</v>
      </c>
      <c r="U216" s="210"/>
      <c r="V216" s="211"/>
      <c r="W216" s="211"/>
      <c r="X216" s="1163"/>
      <c r="Y216" s="1176" t="s">
        <v>412</v>
      </c>
      <c r="Z216" s="1174" t="s">
        <v>335</v>
      </c>
      <c r="AA216" s="150" t="s">
        <v>214</v>
      </c>
      <c r="AB216" s="59" t="s">
        <v>15</v>
      </c>
      <c r="AI216" s="42"/>
      <c r="AJ216" s="60"/>
      <c r="AK216" s="60"/>
      <c r="AM216" s="139"/>
      <c r="AN216" s="139"/>
      <c r="AO216" s="139"/>
      <c r="AP216" s="139"/>
      <c r="AQ216" s="139"/>
      <c r="AR216" s="139"/>
      <c r="AS216" s="139"/>
      <c r="AT216" s="139"/>
      <c r="AU216" s="139"/>
      <c r="AV216" s="139"/>
      <c r="AW216" s="139"/>
      <c r="AY216" s="97"/>
      <c r="AZ216" s="97"/>
      <c r="BA216" s="97"/>
      <c r="BB216" s="97"/>
      <c r="BC216" s="97"/>
      <c r="BO216" s="60"/>
      <c r="BP216" s="60"/>
      <c r="BQ216" s="60"/>
      <c r="BR216" s="60"/>
      <c r="BS216" s="60"/>
      <c r="BT216" s="60"/>
      <c r="BW216" s="146"/>
      <c r="BX216" s="146" t="str">
        <f>E216</f>
        <v>BREEAM innovation credits</v>
      </c>
      <c r="BY216" s="146" t="str">
        <f>IFERROR(VLOOKUP($E216,'Pre-Assessment Estimator'!$E$11:$AI$226,'Pre-Assessment Estimator'!AI$2,FALSE),"")</f>
        <v/>
      </c>
      <c r="BZ216" s="146" t="str">
        <f t="shared" si="567"/>
        <v/>
      </c>
      <c r="CA216" s="146" t="str">
        <f t="shared" si="568"/>
        <v/>
      </c>
      <c r="CB216" s="146"/>
      <c r="CC216" s="96" t="str">
        <f t="shared" si="569"/>
        <v/>
      </c>
    </row>
    <row r="217" spans="1:85" x14ac:dyDescent="0.25">
      <c r="A217" s="96">
        <v>209</v>
      </c>
      <c r="B217" s="130" t="str">
        <f>D217</f>
        <v>Inn 01</v>
      </c>
      <c r="C217" s="96" t="s">
        <v>94</v>
      </c>
      <c r="D217" s="313" t="s">
        <v>190</v>
      </c>
      <c r="E217" s="177" t="str">
        <f t="shared" ref="E217:E230" si="570">D217&amp;" - "&amp;E261</f>
        <v xml:space="preserve">Inn 01 - Man 03: Reduction of direct emissions from construction sites </v>
      </c>
      <c r="F217" s="953">
        <v>1</v>
      </c>
      <c r="G217" s="953">
        <v>1</v>
      </c>
      <c r="H217" s="953">
        <v>1</v>
      </c>
      <c r="I217" s="953">
        <v>1</v>
      </c>
      <c r="J217" s="953">
        <v>1</v>
      </c>
      <c r="K217" s="953">
        <v>1</v>
      </c>
      <c r="L217" s="953">
        <v>1</v>
      </c>
      <c r="M217" s="953">
        <v>1</v>
      </c>
      <c r="N217" s="953">
        <v>1</v>
      </c>
      <c r="O217" s="953">
        <v>1</v>
      </c>
      <c r="P217" s="953">
        <v>1</v>
      </c>
      <c r="Q217" s="1128">
        <v>1</v>
      </c>
      <c r="R217" s="1128">
        <v>1</v>
      </c>
      <c r="T217" s="212">
        <f t="shared" ref="T217:T231" si="571">HLOOKUP($E$6,$F$9:$R$231,$A217,FALSE)</f>
        <v>1</v>
      </c>
      <c r="U217" s="166"/>
      <c r="V217" s="167"/>
      <c r="W217" s="167"/>
      <c r="X217" s="168">
        <f>'Manuell filtrering og justering'!E94</f>
        <v>0</v>
      </c>
      <c r="Y217" s="169"/>
      <c r="Z217" s="1158">
        <f>VLOOKUP(B217,'Manuell filtrering og justering'!$A$7:$H$253,'Manuell filtrering og justering'!$H$1,FALSE)</f>
        <v>1</v>
      </c>
      <c r="AA217" s="169">
        <f t="shared" ref="AA217:AA230" si="572">IF(SUM(U217:Y217)&gt;T217,T217,SUM(U217:Y217))</f>
        <v>0</v>
      </c>
      <c r="AB217" s="170">
        <f>IF($AC$5='Manuell filtrering og justering'!$J$2,Z217,(T217-AA217))</f>
        <v>1</v>
      </c>
      <c r="AD217" s="171">
        <f>(Inn_Weight/Inn_Credits)*Inn01_credits</f>
        <v>0.01</v>
      </c>
      <c r="AE217" s="171">
        <f t="shared" ref="AE217:AE230" si="573">IF(AB217=0,0,(AD217/AB217)*AI217)</f>
        <v>0</v>
      </c>
      <c r="AF217" s="171">
        <f t="shared" ref="AF217:AF230" si="574">IF(AB217=0,0,(AD217/AB217)*AJ217)</f>
        <v>0</v>
      </c>
      <c r="AG217" s="171">
        <f t="shared" ref="AG217:AG230" si="575">IF(AB217=0,0,(AD217/AB217)*AK217)</f>
        <v>0</v>
      </c>
      <c r="AI217" s="214">
        <f>IF(VLOOKUP(E217,'Pre-Assessment Estimator'!$E$11:$Z$226,'Pre-Assessment Estimator'!$G$2,FALSE)&gt;AB217,AB217,VLOOKUP(E217,'Pre-Assessment Estimator'!$E$11:$Z$226,'Pre-Assessment Estimator'!$G$2,FALSE))</f>
        <v>0</v>
      </c>
      <c r="AJ217" s="172">
        <f>IF(VLOOKUP(E217,'Pre-Assessment Estimator'!$E$11:$Z$226,'Pre-Assessment Estimator'!$N$2,FALSE)&gt;AB217,AB217,VLOOKUP(E217,'Pre-Assessment Estimator'!$E$11:$Z$226,'Pre-Assessment Estimator'!$N$2,FALSE))</f>
        <v>0</v>
      </c>
      <c r="AK217" s="172">
        <f>IF(VLOOKUP(E217,'Pre-Assessment Estimator'!$E$11:$Z$226,'Pre-Assessment Estimator'!$U$2,FALSE)&gt;AB217,AB217,VLOOKUP(E217,'Pre-Assessment Estimator'!$E$11:$Z$226,'Pre-Assessment Estimator'!$U$2,FALSE))</f>
        <v>0</v>
      </c>
      <c r="AM217" s="298"/>
      <c r="AN217" s="299"/>
      <c r="AO217" s="299"/>
      <c r="AP217" s="299"/>
      <c r="AQ217" s="721"/>
      <c r="AR217" s="139"/>
      <c r="AS217" s="298"/>
      <c r="AT217" s="299"/>
      <c r="AU217" s="299"/>
      <c r="AV217" s="299"/>
      <c r="AW217" s="300"/>
      <c r="AY217" s="218"/>
      <c r="AZ217" s="219"/>
      <c r="BA217" s="219"/>
      <c r="BB217" s="219"/>
      <c r="BC217" s="716">
        <f t="shared" si="543"/>
        <v>0</v>
      </c>
      <c r="BD217" s="174">
        <f t="shared" si="464"/>
        <v>9</v>
      </c>
      <c r="BE217" s="164" t="str">
        <f t="shared" ref="BE217:BE230" si="576">VLOOKUP(BD217,$BO$284:$BT$290,6,FALSE)</f>
        <v>N/A</v>
      </c>
      <c r="BF217" s="178"/>
      <c r="BG217" s="174">
        <f t="shared" ref="BG217:BG225" si="577">IF(BC217=0,9,IF(AJ217&gt;=BC217,5,IF(AJ217&gt;=BB217,4,IF(AJ217&gt;=BA217,3,IF(AJ217&gt;=AZ217,2,IF(AJ217&lt;AY217,0,1))))))</f>
        <v>9</v>
      </c>
      <c r="BH217" s="164" t="str">
        <f t="shared" ref="BH217:BH230" si="578">VLOOKUP(BG217,$BO$284:$BT$290,6,FALSE)</f>
        <v>N/A</v>
      </c>
      <c r="BI217" s="178"/>
      <c r="BJ217" s="174">
        <f t="shared" si="447"/>
        <v>9</v>
      </c>
      <c r="BK217" s="164" t="str">
        <f t="shared" ref="BK217:BK230" si="579">VLOOKUP(BJ217,$BO$284:$BT$290,6,FALSE)</f>
        <v>N/A</v>
      </c>
      <c r="BL217" s="178"/>
      <c r="BO217" s="167"/>
      <c r="BP217" s="167"/>
      <c r="BQ217" s="167" t="str">
        <f t="shared" si="554"/>
        <v/>
      </c>
      <c r="BR217" s="167">
        <f t="shared" si="399"/>
        <v>9</v>
      </c>
      <c r="BS217" s="167">
        <f t="shared" si="400"/>
        <v>9</v>
      </c>
      <c r="BT217" s="167">
        <f t="shared" si="401"/>
        <v>9</v>
      </c>
      <c r="BW217" s="164" t="str">
        <f t="shared" ref="BW217:BW225" si="580">D217</f>
        <v>Inn 01</v>
      </c>
      <c r="BX217" s="164" t="str">
        <f>IFERROR(VLOOKUP($E217,'Pre-Assessment Estimator'!$E$11:$AB$226,'Pre-Assessment Estimator'!AB$2,FALSE),"")</f>
        <v>N/A</v>
      </c>
      <c r="BY217" s="164">
        <f>IFERROR(VLOOKUP($E217,'Pre-Assessment Estimator'!$E$11:$AI$226,'Pre-Assessment Estimator'!AI$2,FALSE),"")</f>
        <v>0</v>
      </c>
      <c r="BZ217" s="164">
        <f t="shared" si="567"/>
        <v>1</v>
      </c>
      <c r="CA217" s="164">
        <f t="shared" si="568"/>
        <v>0</v>
      </c>
      <c r="CB217" s="164"/>
      <c r="CC217" s="96" t="str">
        <f t="shared" si="569"/>
        <v/>
      </c>
    </row>
    <row r="218" spans="1:85" x14ac:dyDescent="0.25">
      <c r="A218" s="96">
        <v>210</v>
      </c>
      <c r="B218" s="130" t="str">
        <f t="shared" ref="B218:B230" si="581">D218</f>
        <v>Inn 02</v>
      </c>
      <c r="C218" s="96" t="s">
        <v>117</v>
      </c>
      <c r="D218" s="166" t="s">
        <v>191</v>
      </c>
      <c r="E218" s="1181" t="str">
        <f t="shared" si="570"/>
        <v xml:space="preserve">Inn 02 - Hea 01: View out, high level </v>
      </c>
      <c r="F218" s="775">
        <v>1</v>
      </c>
      <c r="G218" s="775">
        <v>1</v>
      </c>
      <c r="H218" s="775">
        <v>1</v>
      </c>
      <c r="I218" s="775">
        <v>1</v>
      </c>
      <c r="J218" s="775">
        <v>1</v>
      </c>
      <c r="K218" s="775">
        <v>1</v>
      </c>
      <c r="L218" s="775">
        <v>1</v>
      </c>
      <c r="M218" s="775">
        <v>1</v>
      </c>
      <c r="N218" s="775">
        <v>1</v>
      </c>
      <c r="O218" s="775">
        <v>1</v>
      </c>
      <c r="P218" s="775">
        <v>1</v>
      </c>
      <c r="Q218" s="1129">
        <v>1</v>
      </c>
      <c r="R218" s="1129">
        <v>1</v>
      </c>
      <c r="T218" s="221">
        <f t="shared" si="571"/>
        <v>1</v>
      </c>
      <c r="U218" s="166"/>
      <c r="V218" s="167"/>
      <c r="W218" s="167"/>
      <c r="X218" s="168">
        <f>'Manuell filtrering og justering'!E95</f>
        <v>0</v>
      </c>
      <c r="Y218" s="169"/>
      <c r="Z218" s="1158">
        <f>VLOOKUP(B218,'Manuell filtrering og justering'!$A$7:$H$253,'Manuell filtrering og justering'!$H$1,FALSE)</f>
        <v>0</v>
      </c>
      <c r="AA218" s="169">
        <f t="shared" si="572"/>
        <v>0</v>
      </c>
      <c r="AB218" s="170">
        <f>IF($AC$5='Manuell filtrering og justering'!$J$2,Z218,(T218-AA218))</f>
        <v>1</v>
      </c>
      <c r="AD218" s="171">
        <f>(Inn_Weight/Inn_Credits)*Inn02_credits</f>
        <v>0.01</v>
      </c>
      <c r="AE218" s="171">
        <f t="shared" si="573"/>
        <v>0</v>
      </c>
      <c r="AF218" s="171">
        <f t="shared" si="574"/>
        <v>0</v>
      </c>
      <c r="AG218" s="171">
        <f t="shared" si="575"/>
        <v>0</v>
      </c>
      <c r="AI218" s="214">
        <f>IF(VLOOKUP(E218,'Pre-Assessment Estimator'!$E$11:$Z$226,'Pre-Assessment Estimator'!$G$2,FALSE)&gt;AB218,AB218,VLOOKUP(E218,'Pre-Assessment Estimator'!$E$11:$Z$226,'Pre-Assessment Estimator'!$G$2,FALSE))</f>
        <v>0</v>
      </c>
      <c r="AJ218" s="172">
        <f>IF(VLOOKUP(E218,'Pre-Assessment Estimator'!$E$11:$Z$226,'Pre-Assessment Estimator'!$N$2,FALSE)&gt;AB218,AB218,VLOOKUP(E218,'Pre-Assessment Estimator'!$E$11:$Z$226,'Pre-Assessment Estimator'!$N$2,FALSE))</f>
        <v>0</v>
      </c>
      <c r="AK218" s="172">
        <f>IF(VLOOKUP(E218,'Pre-Assessment Estimator'!$E$11:$Z$226,'Pre-Assessment Estimator'!$U$2,FALSE)&gt;AB218,AB218,VLOOKUP(E218,'Pre-Assessment Estimator'!$E$11:$Z$226,'Pre-Assessment Estimator'!$U$2,FALSE))</f>
        <v>0</v>
      </c>
      <c r="AM218" s="292"/>
      <c r="AN218" s="293"/>
      <c r="AO218" s="293"/>
      <c r="AP218" s="293"/>
      <c r="AQ218" s="722"/>
      <c r="AR218" s="139"/>
      <c r="AS218" s="292"/>
      <c r="AT218" s="293"/>
      <c r="AU218" s="293"/>
      <c r="AV218" s="293"/>
      <c r="AW218" s="294"/>
      <c r="AY218" s="188"/>
      <c r="AZ218" s="189"/>
      <c r="BA218" s="189"/>
      <c r="BB218" s="189"/>
      <c r="BC218" s="717">
        <f t="shared" si="543"/>
        <v>0</v>
      </c>
      <c r="BD218" s="182">
        <f t="shared" si="464"/>
        <v>9</v>
      </c>
      <c r="BE218" s="164" t="str">
        <f t="shared" si="576"/>
        <v>N/A</v>
      </c>
      <c r="BF218" s="185"/>
      <c r="BG218" s="182">
        <f t="shared" si="577"/>
        <v>9</v>
      </c>
      <c r="BH218" s="164" t="str">
        <f t="shared" si="578"/>
        <v>N/A</v>
      </c>
      <c r="BI218" s="185"/>
      <c r="BJ218" s="182">
        <f t="shared" si="447"/>
        <v>9</v>
      </c>
      <c r="BK218" s="164" t="str">
        <f t="shared" si="579"/>
        <v>N/A</v>
      </c>
      <c r="BL218" s="185"/>
      <c r="BO218" s="167"/>
      <c r="BP218" s="167"/>
      <c r="BQ218" s="167" t="str">
        <f t="shared" si="554"/>
        <v/>
      </c>
      <c r="BR218" s="167">
        <f t="shared" si="399"/>
        <v>9</v>
      </c>
      <c r="BS218" s="167">
        <f t="shared" si="400"/>
        <v>9</v>
      </c>
      <c r="BT218" s="167">
        <f t="shared" si="401"/>
        <v>9</v>
      </c>
      <c r="BW218" s="167" t="str">
        <f t="shared" si="580"/>
        <v>Inn 02</v>
      </c>
      <c r="BX218" s="167" t="str">
        <f>IFERROR(VLOOKUP($E218,'Pre-Assessment Estimator'!$E$11:$AB$226,'Pre-Assessment Estimator'!AB$2,FALSE),"")</f>
        <v>N/A</v>
      </c>
      <c r="BY218" s="167">
        <f>IFERROR(VLOOKUP($E218,'Pre-Assessment Estimator'!$E$11:$AI$226,'Pre-Assessment Estimator'!AI$2,FALSE),"")</f>
        <v>0</v>
      </c>
      <c r="BZ218" s="167">
        <f t="shared" si="567"/>
        <v>1</v>
      </c>
      <c r="CA218" s="167">
        <f t="shared" si="568"/>
        <v>0</v>
      </c>
      <c r="CB218" s="167"/>
      <c r="CC218" s="96" t="str">
        <f t="shared" si="569"/>
        <v/>
      </c>
    </row>
    <row r="219" spans="1:85" x14ac:dyDescent="0.25">
      <c r="A219" s="96">
        <v>211</v>
      </c>
      <c r="B219" s="130" t="str">
        <f t="shared" si="581"/>
        <v>Inn 03</v>
      </c>
      <c r="C219" s="96" t="s">
        <v>118</v>
      </c>
      <c r="D219" s="166" t="s">
        <v>192</v>
      </c>
      <c r="E219" s="167" t="str">
        <f t="shared" si="570"/>
        <v>Inn 03 - Hea 02: Emissions from construction products</v>
      </c>
      <c r="F219" s="775">
        <v>1</v>
      </c>
      <c r="G219" s="775">
        <v>1</v>
      </c>
      <c r="H219" s="775">
        <v>1</v>
      </c>
      <c r="I219" s="775">
        <v>1</v>
      </c>
      <c r="J219" s="775">
        <v>1</v>
      </c>
      <c r="K219" s="775">
        <v>1</v>
      </c>
      <c r="L219" s="775">
        <v>1</v>
      </c>
      <c r="M219" s="775">
        <v>1</v>
      </c>
      <c r="N219" s="775">
        <v>1</v>
      </c>
      <c r="O219" s="775">
        <v>1</v>
      </c>
      <c r="P219" s="775">
        <v>1</v>
      </c>
      <c r="Q219" s="1129">
        <v>1</v>
      </c>
      <c r="R219" s="1129">
        <v>1</v>
      </c>
      <c r="T219" s="221">
        <f t="shared" si="571"/>
        <v>1</v>
      </c>
      <c r="U219" s="166">
        <f>IF(Hea02_credits=0,T219,0)</f>
        <v>0</v>
      </c>
      <c r="V219" s="167"/>
      <c r="W219" s="167"/>
      <c r="X219" s="168">
        <f>'Manuell filtrering og justering'!E96</f>
        <v>0</v>
      </c>
      <c r="Y219" s="169">
        <f>IF($Y$4=$Y$6,T219,0)</f>
        <v>0</v>
      </c>
      <c r="Z219" s="1158">
        <f>VLOOKUP(B219,'Manuell filtrering og justering'!$A$7:$H$253,'Manuell filtrering og justering'!$H$1,FALSE)</f>
        <v>1</v>
      </c>
      <c r="AA219" s="169">
        <f t="shared" si="572"/>
        <v>0</v>
      </c>
      <c r="AB219" s="170">
        <f>IF($AC$5='Manuell filtrering og justering'!$J$2,Z219,(T219-AA219))</f>
        <v>1</v>
      </c>
      <c r="AD219" s="171">
        <f>(Inn_Weight/Inn_Credits)*Inn03_credits</f>
        <v>0.01</v>
      </c>
      <c r="AE219" s="171">
        <f t="shared" si="573"/>
        <v>0</v>
      </c>
      <c r="AF219" s="171">
        <f t="shared" si="574"/>
        <v>0</v>
      </c>
      <c r="AG219" s="171">
        <f t="shared" si="575"/>
        <v>0</v>
      </c>
      <c r="AI219" s="214">
        <f>IF(VLOOKUP(E219,'Pre-Assessment Estimator'!$E$11:$Z$226,'Pre-Assessment Estimator'!$G$2,FALSE)&gt;AB219,AB219,VLOOKUP(E219,'Pre-Assessment Estimator'!$E$11:$Z$226,'Pre-Assessment Estimator'!$G$2,FALSE))</f>
        <v>0</v>
      </c>
      <c r="AJ219" s="172">
        <f>IF(VLOOKUP(E219,'Pre-Assessment Estimator'!$E$11:$Z$226,'Pre-Assessment Estimator'!$N$2,FALSE)&gt;AB219,AB219,VLOOKUP(E219,'Pre-Assessment Estimator'!$E$11:$Z$226,'Pre-Assessment Estimator'!$N$2,FALSE))</f>
        <v>0</v>
      </c>
      <c r="AK219" s="172">
        <f>IF(VLOOKUP(E219,'Pre-Assessment Estimator'!$E$11:$Z$226,'Pre-Assessment Estimator'!$U$2,FALSE)&gt;AB219,AB219,VLOOKUP(E219,'Pre-Assessment Estimator'!$E$11:$Z$226,'Pre-Assessment Estimator'!$U$2,FALSE))</f>
        <v>0</v>
      </c>
      <c r="AM219" s="292"/>
      <c r="AN219" s="293"/>
      <c r="AO219" s="293"/>
      <c r="AP219" s="293"/>
      <c r="AQ219" s="722"/>
      <c r="AR219" s="139"/>
      <c r="AS219" s="292"/>
      <c r="AT219" s="293"/>
      <c r="AU219" s="293"/>
      <c r="AV219" s="293"/>
      <c r="AW219" s="294"/>
      <c r="AY219" s="188"/>
      <c r="AZ219" s="189"/>
      <c r="BA219" s="189"/>
      <c r="BB219" s="189"/>
      <c r="BC219" s="717">
        <f t="shared" si="543"/>
        <v>0</v>
      </c>
      <c r="BD219" s="182">
        <f t="shared" si="464"/>
        <v>9</v>
      </c>
      <c r="BE219" s="164" t="str">
        <f t="shared" si="576"/>
        <v>N/A</v>
      </c>
      <c r="BF219" s="185"/>
      <c r="BG219" s="182">
        <f t="shared" si="577"/>
        <v>9</v>
      </c>
      <c r="BH219" s="164" t="str">
        <f t="shared" si="578"/>
        <v>N/A</v>
      </c>
      <c r="BI219" s="185"/>
      <c r="BJ219" s="182">
        <f t="shared" si="447"/>
        <v>9</v>
      </c>
      <c r="BK219" s="164" t="str">
        <f t="shared" si="579"/>
        <v>N/A</v>
      </c>
      <c r="BL219" s="185"/>
      <c r="BO219" s="167"/>
      <c r="BP219" s="167"/>
      <c r="BQ219" s="167" t="str">
        <f t="shared" si="554"/>
        <v/>
      </c>
      <c r="BR219" s="167">
        <f t="shared" si="399"/>
        <v>9</v>
      </c>
      <c r="BS219" s="167">
        <f t="shared" si="400"/>
        <v>9</v>
      </c>
      <c r="BT219" s="167">
        <f t="shared" si="401"/>
        <v>9</v>
      </c>
      <c r="BW219" s="167" t="str">
        <f t="shared" si="580"/>
        <v>Inn 03</v>
      </c>
      <c r="BX219" s="167" t="str">
        <f>IFERROR(VLOOKUP($E219,'Pre-Assessment Estimator'!$E$11:$AB$226,'Pre-Assessment Estimator'!AB$2,FALSE),"")</f>
        <v>N/A</v>
      </c>
      <c r="BY219" s="167">
        <f>IFERROR(VLOOKUP($E219,'Pre-Assessment Estimator'!$E$11:$AI$226,'Pre-Assessment Estimator'!AI$2,FALSE),"")</f>
        <v>0</v>
      </c>
      <c r="BZ219" s="167">
        <f t="shared" si="567"/>
        <v>1</v>
      </c>
      <c r="CA219" s="167">
        <f t="shared" si="568"/>
        <v>0</v>
      </c>
      <c r="CB219" s="167"/>
      <c r="CC219" s="96" t="str">
        <f t="shared" si="569"/>
        <v/>
      </c>
    </row>
    <row r="220" spans="1:85" x14ac:dyDescent="0.25">
      <c r="A220" s="96">
        <v>212</v>
      </c>
      <c r="B220" s="130" t="str">
        <f t="shared" si="581"/>
        <v>Inn 04</v>
      </c>
      <c r="C220" s="96" t="s">
        <v>122</v>
      </c>
      <c r="D220" s="166" t="s">
        <v>193</v>
      </c>
      <c r="E220" s="167" t="str">
        <f t="shared" si="570"/>
        <v xml:space="preserve">Inn 04 - Hea 06: Biofilik design </v>
      </c>
      <c r="F220" s="775">
        <v>1</v>
      </c>
      <c r="G220" s="775">
        <v>1</v>
      </c>
      <c r="H220" s="775">
        <v>1</v>
      </c>
      <c r="I220" s="775">
        <v>1</v>
      </c>
      <c r="J220" s="775">
        <v>1</v>
      </c>
      <c r="K220" s="775">
        <v>1</v>
      </c>
      <c r="L220" s="775">
        <v>1</v>
      </c>
      <c r="M220" s="775">
        <v>1</v>
      </c>
      <c r="N220" s="775">
        <v>1</v>
      </c>
      <c r="O220" s="775">
        <v>1</v>
      </c>
      <c r="P220" s="775">
        <v>1</v>
      </c>
      <c r="Q220" s="1129">
        <v>1</v>
      </c>
      <c r="R220" s="1129">
        <v>1</v>
      </c>
      <c r="T220" s="221">
        <f t="shared" si="571"/>
        <v>1</v>
      </c>
      <c r="U220" s="166"/>
      <c r="V220" s="167"/>
      <c r="W220" s="167"/>
      <c r="X220" s="168">
        <f>'Manuell filtrering og justering'!E97</f>
        <v>0</v>
      </c>
      <c r="Y220" s="169">
        <f>IF(OR($Y$4=$Y$5,$Y$4=$Y$6),T220,0)</f>
        <v>0</v>
      </c>
      <c r="Z220" s="1158">
        <f>VLOOKUP(B220,'Manuell filtrering og justering'!$A$7:$H$253,'Manuell filtrering og justering'!$H$1,FALSE)</f>
        <v>1</v>
      </c>
      <c r="AA220" s="169">
        <f t="shared" si="572"/>
        <v>0</v>
      </c>
      <c r="AB220" s="170">
        <f>IF($AC$5='Manuell filtrering og justering'!$J$2,Z220,(T220-AA220))</f>
        <v>1</v>
      </c>
      <c r="AD220" s="171">
        <f>(Inn_Weight/Inn_Credits)*Inn04_credits</f>
        <v>0.01</v>
      </c>
      <c r="AE220" s="171">
        <f t="shared" si="573"/>
        <v>0</v>
      </c>
      <c r="AF220" s="171">
        <f t="shared" si="574"/>
        <v>0</v>
      </c>
      <c r="AG220" s="171">
        <f t="shared" si="575"/>
        <v>0</v>
      </c>
      <c r="AI220" s="214">
        <f>IF(VLOOKUP(E220,'Pre-Assessment Estimator'!$E$11:$Z$226,'Pre-Assessment Estimator'!$G$2,FALSE)&gt;AB220,AB220,VLOOKUP(E220,'Pre-Assessment Estimator'!$E$11:$Z$226,'Pre-Assessment Estimator'!$G$2,FALSE))</f>
        <v>0</v>
      </c>
      <c r="AJ220" s="172">
        <f>IF(VLOOKUP(E220,'Pre-Assessment Estimator'!$E$11:$Z$226,'Pre-Assessment Estimator'!$N$2,FALSE)&gt;AB220,AB220,VLOOKUP(E220,'Pre-Assessment Estimator'!$E$11:$Z$226,'Pre-Assessment Estimator'!$N$2,FALSE))</f>
        <v>0</v>
      </c>
      <c r="AK220" s="172">
        <f>IF(VLOOKUP(E220,'Pre-Assessment Estimator'!$E$11:$Z$226,'Pre-Assessment Estimator'!$U$2,FALSE)&gt;AB220,AB220,VLOOKUP(E220,'Pre-Assessment Estimator'!$E$11:$Z$226,'Pre-Assessment Estimator'!$U$2,FALSE))</f>
        <v>0</v>
      </c>
      <c r="AM220" s="292"/>
      <c r="AN220" s="293"/>
      <c r="AO220" s="293"/>
      <c r="AP220" s="293"/>
      <c r="AQ220" s="722"/>
      <c r="AR220" s="139"/>
      <c r="AS220" s="292"/>
      <c r="AT220" s="293"/>
      <c r="AU220" s="293"/>
      <c r="AV220" s="293"/>
      <c r="AW220" s="294"/>
      <c r="AY220" s="188"/>
      <c r="AZ220" s="189"/>
      <c r="BA220" s="189"/>
      <c r="BB220" s="189"/>
      <c r="BC220" s="717">
        <f t="shared" si="543"/>
        <v>0</v>
      </c>
      <c r="BD220" s="182">
        <f t="shared" si="464"/>
        <v>9</v>
      </c>
      <c r="BE220" s="164" t="str">
        <f t="shared" si="576"/>
        <v>N/A</v>
      </c>
      <c r="BF220" s="185"/>
      <c r="BG220" s="182">
        <f t="shared" si="577"/>
        <v>9</v>
      </c>
      <c r="BH220" s="164" t="str">
        <f t="shared" si="578"/>
        <v>N/A</v>
      </c>
      <c r="BI220" s="185"/>
      <c r="BJ220" s="182">
        <f t="shared" si="447"/>
        <v>9</v>
      </c>
      <c r="BK220" s="164" t="str">
        <f t="shared" si="579"/>
        <v>N/A</v>
      </c>
      <c r="BL220" s="185"/>
      <c r="BO220" s="167"/>
      <c r="BP220" s="167"/>
      <c r="BQ220" s="167" t="str">
        <f t="shared" si="554"/>
        <v/>
      </c>
      <c r="BR220" s="167">
        <f t="shared" si="399"/>
        <v>9</v>
      </c>
      <c r="BS220" s="167">
        <f t="shared" si="400"/>
        <v>9</v>
      </c>
      <c r="BT220" s="167">
        <f t="shared" si="401"/>
        <v>9</v>
      </c>
      <c r="BW220" s="167" t="str">
        <f t="shared" si="580"/>
        <v>Inn 04</v>
      </c>
      <c r="BX220" s="167" t="str">
        <f>IFERROR(VLOOKUP($E220,'Pre-Assessment Estimator'!$E$11:$AB$226,'Pre-Assessment Estimator'!AB$2,FALSE),"")</f>
        <v>N/A</v>
      </c>
      <c r="BY220" s="167">
        <f>IFERROR(VLOOKUP($E220,'Pre-Assessment Estimator'!$E$11:$AI$226,'Pre-Assessment Estimator'!AI$2,FALSE),"")</f>
        <v>0</v>
      </c>
      <c r="BZ220" s="167">
        <f t="shared" si="567"/>
        <v>1</v>
      </c>
      <c r="CA220" s="167">
        <f t="shared" si="568"/>
        <v>0</v>
      </c>
      <c r="CB220" s="167"/>
      <c r="CC220" s="96" t="str">
        <f t="shared" si="569"/>
        <v/>
      </c>
    </row>
    <row r="221" spans="1:85" x14ac:dyDescent="0.25">
      <c r="A221" s="96">
        <v>213</v>
      </c>
      <c r="B221" s="130" t="str">
        <f t="shared" si="581"/>
        <v>Inn 05</v>
      </c>
      <c r="C221" s="96" t="s">
        <v>135</v>
      </c>
      <c r="D221" s="166" t="s">
        <v>194</v>
      </c>
      <c r="E221" s="1131" t="str">
        <f t="shared" si="570"/>
        <v xml:space="preserve">Inn 05 - Ene 01: Post-occupancy stage </v>
      </c>
      <c r="F221" s="767">
        <v>2</v>
      </c>
      <c r="G221" s="767">
        <v>2</v>
      </c>
      <c r="H221" s="767">
        <v>2</v>
      </c>
      <c r="I221" s="767">
        <v>2</v>
      </c>
      <c r="J221" s="767">
        <v>2</v>
      </c>
      <c r="K221" s="767">
        <v>2</v>
      </c>
      <c r="L221" s="767">
        <v>2</v>
      </c>
      <c r="M221" s="767">
        <v>2</v>
      </c>
      <c r="N221" s="767">
        <v>2</v>
      </c>
      <c r="O221" s="767">
        <v>2</v>
      </c>
      <c r="P221" s="767">
        <v>2</v>
      </c>
      <c r="Q221" s="768">
        <v>2</v>
      </c>
      <c r="R221" s="768">
        <v>2</v>
      </c>
      <c r="T221" s="221">
        <f t="shared" si="571"/>
        <v>2</v>
      </c>
      <c r="U221" s="166"/>
      <c r="V221" s="167"/>
      <c r="W221" s="167"/>
      <c r="X221" s="168">
        <f>'Manuell filtrering og justering'!E98</f>
        <v>0</v>
      </c>
      <c r="Y221" s="169">
        <f>IF($Y$4=$Y$6,T221,0)</f>
        <v>0</v>
      </c>
      <c r="Z221" s="1158">
        <f>VLOOKUP(B221,'Manuell filtrering og justering'!$A$7:$H$253,'Manuell filtrering og justering'!$H$1,FALSE)</f>
        <v>4</v>
      </c>
      <c r="AA221" s="169">
        <f t="shared" si="572"/>
        <v>0</v>
      </c>
      <c r="AB221" s="170">
        <f>IF($AC$5='Manuell filtrering og justering'!$J$2,Z221,(T221-AA221))</f>
        <v>2</v>
      </c>
      <c r="AD221" s="171">
        <f>(Inn_Weight/Inn_Credits)*Inn05_credits</f>
        <v>0.02</v>
      </c>
      <c r="AE221" s="171">
        <f t="shared" si="573"/>
        <v>0</v>
      </c>
      <c r="AF221" s="171">
        <f t="shared" si="574"/>
        <v>0</v>
      </c>
      <c r="AG221" s="171">
        <f t="shared" si="575"/>
        <v>0</v>
      </c>
      <c r="AI221" s="1070">
        <f>IF(OR(AI74&lt;&gt;AB74,Ene02_user&lt;&gt;Ene02_credits),0,IF(VLOOKUP(E221,'Pre-Assessment Estimator'!$E$11:$Z$226,'Pre-Assessment Estimator'!$G$2,FALSE)&gt;AB221,AB221,VLOOKUP(E221,'Pre-Assessment Estimator'!$E$11:$Z$226,'Pre-Assessment Estimator'!$G$2,FALSE)))</f>
        <v>0</v>
      </c>
      <c r="AJ221" s="1067">
        <f>IF(OR(AJ74&lt;&gt;AB74,AJ75&lt;&gt;Ene02_credits),0,IF(VLOOKUP(E221,'Pre-Assessment Estimator'!$E$11:$Z$226,'Pre-Assessment Estimator'!$N$2,FALSE)&gt;AB221,AB221,VLOOKUP(E221,'Pre-Assessment Estimator'!$E$11:$Z$226,'Pre-Assessment Estimator'!$N$2,FALSE)))</f>
        <v>0</v>
      </c>
      <c r="AK221" s="1067">
        <f>IF(OR(AK74&lt;&gt;AB74,AK75&lt;&gt;Ene02_credits),0,IF(VLOOKUP(E221,'Pre-Assessment Estimator'!$E$11:$Z$226,'Pre-Assessment Estimator'!$U$2,FALSE)&gt;AB221,AB221,VLOOKUP(E221,'Pre-Assessment Estimator'!$E$11:$Z$226,'Pre-Assessment Estimator'!$U$2,FALSE)))</f>
        <v>0</v>
      </c>
      <c r="AM221" s="292"/>
      <c r="AN221" s="293"/>
      <c r="AO221" s="293"/>
      <c r="AP221" s="293"/>
      <c r="AQ221" s="722"/>
      <c r="AR221" s="139"/>
      <c r="AS221" s="292"/>
      <c r="AT221" s="293"/>
      <c r="AU221" s="293"/>
      <c r="AV221" s="293"/>
      <c r="AW221" s="294"/>
      <c r="AY221" s="188"/>
      <c r="AZ221" s="189"/>
      <c r="BA221" s="189"/>
      <c r="BB221" s="189"/>
      <c r="BC221" s="717">
        <f t="shared" si="543"/>
        <v>0</v>
      </c>
      <c r="BD221" s="182">
        <f t="shared" si="464"/>
        <v>9</v>
      </c>
      <c r="BE221" s="164" t="str">
        <f t="shared" si="576"/>
        <v>N/A</v>
      </c>
      <c r="BF221" s="185"/>
      <c r="BG221" s="182">
        <f t="shared" si="577"/>
        <v>9</v>
      </c>
      <c r="BH221" s="164" t="str">
        <f t="shared" si="578"/>
        <v>N/A</v>
      </c>
      <c r="BI221" s="185"/>
      <c r="BJ221" s="182">
        <f t="shared" si="447"/>
        <v>9</v>
      </c>
      <c r="BK221" s="164" t="str">
        <f t="shared" si="579"/>
        <v>N/A</v>
      </c>
      <c r="BL221" s="185"/>
      <c r="BO221" s="167"/>
      <c r="BP221" s="167"/>
      <c r="BQ221" s="167" t="str">
        <f t="shared" si="554"/>
        <v/>
      </c>
      <c r="BR221" s="167">
        <f t="shared" si="399"/>
        <v>9</v>
      </c>
      <c r="BS221" s="167">
        <f t="shared" si="400"/>
        <v>9</v>
      </c>
      <c r="BT221" s="167">
        <f t="shared" si="401"/>
        <v>9</v>
      </c>
      <c r="BW221" s="167" t="str">
        <f t="shared" si="580"/>
        <v>Inn 05</v>
      </c>
      <c r="BX221" s="167" t="str">
        <f>IFERROR(VLOOKUP($E221,'Pre-Assessment Estimator'!$E$11:$AB$226,'Pre-Assessment Estimator'!AB$2,FALSE),"")</f>
        <v>N/A</v>
      </c>
      <c r="BY221" s="167">
        <f>IFERROR(VLOOKUP($E221,'Pre-Assessment Estimator'!$E$11:$AI$226,'Pre-Assessment Estimator'!AI$2,FALSE),"")</f>
        <v>0</v>
      </c>
      <c r="BZ221" s="167">
        <f t="shared" si="567"/>
        <v>1</v>
      </c>
      <c r="CA221" s="167">
        <f t="shared" si="568"/>
        <v>0</v>
      </c>
      <c r="CB221" s="167"/>
      <c r="CC221" s="96" t="str">
        <f t="shared" si="569"/>
        <v/>
      </c>
    </row>
    <row r="222" spans="1:85" x14ac:dyDescent="0.25">
      <c r="A222" s="96">
        <v>214</v>
      </c>
      <c r="B222" s="130" t="str">
        <f t="shared" si="581"/>
        <v>Inn 06</v>
      </c>
      <c r="C222" s="96" t="s">
        <v>135</v>
      </c>
      <c r="D222" s="166" t="s">
        <v>195</v>
      </c>
      <c r="E222" s="1131" t="str">
        <f t="shared" si="570"/>
        <v xml:space="preserve">Inn 06 - Ene 01: Plus house </v>
      </c>
      <c r="F222" s="767">
        <v>1</v>
      </c>
      <c r="G222" s="767">
        <v>1</v>
      </c>
      <c r="H222" s="767">
        <v>1</v>
      </c>
      <c r="I222" s="767">
        <v>1</v>
      </c>
      <c r="J222" s="767">
        <v>1</v>
      </c>
      <c r="K222" s="767">
        <v>1</v>
      </c>
      <c r="L222" s="767">
        <v>1</v>
      </c>
      <c r="M222" s="767">
        <v>1</v>
      </c>
      <c r="N222" s="767">
        <v>1</v>
      </c>
      <c r="O222" s="767">
        <v>1</v>
      </c>
      <c r="P222" s="767">
        <v>1</v>
      </c>
      <c r="Q222" s="768">
        <v>1</v>
      </c>
      <c r="R222" s="768">
        <v>1</v>
      </c>
      <c r="T222" s="221">
        <f t="shared" si="571"/>
        <v>1</v>
      </c>
      <c r="U222" s="166"/>
      <c r="V222" s="167"/>
      <c r="W222" s="167"/>
      <c r="X222" s="168">
        <f>'Manuell filtrering og justering'!E99</f>
        <v>0</v>
      </c>
      <c r="Y222" s="169">
        <f>IF($Y$4=$Y$6,T222,0)</f>
        <v>0</v>
      </c>
      <c r="Z222" s="1158">
        <f>VLOOKUP(B222,'Manuell filtrering og justering'!$A$7:$H$253,'Manuell filtrering og justering'!$H$1,FALSE)</f>
        <v>1</v>
      </c>
      <c r="AA222" s="169">
        <f t="shared" si="572"/>
        <v>0</v>
      </c>
      <c r="AB222" s="170">
        <f>IF($AC$5='Manuell filtrering og justering'!$J$2,Z222,(T222-AA222))</f>
        <v>1</v>
      </c>
      <c r="AD222" s="171">
        <f>(Inn_Weight/Inn_Credits)*Inn06_credits</f>
        <v>0.01</v>
      </c>
      <c r="AE222" s="171">
        <f t="shared" si="573"/>
        <v>0</v>
      </c>
      <c r="AF222" s="171">
        <f t="shared" si="574"/>
        <v>0</v>
      </c>
      <c r="AG222" s="171">
        <f t="shared" si="575"/>
        <v>0</v>
      </c>
      <c r="AI222" s="214">
        <f>IF(VLOOKUP(E222,'Pre-Assessment Estimator'!$E$11:$Z$226,'Pre-Assessment Estimator'!$G$2,FALSE)&gt;AB222,AB222,VLOOKUP(E222,'Pre-Assessment Estimator'!$E$11:$Z$226,'Pre-Assessment Estimator'!$G$2,FALSE))</f>
        <v>0</v>
      </c>
      <c r="AJ222" s="172">
        <f>IF(VLOOKUP(E222,'Pre-Assessment Estimator'!$E$11:$Z$226,'Pre-Assessment Estimator'!$N$2,FALSE)&gt;AB222,AB222,VLOOKUP(E222,'Pre-Assessment Estimator'!$E$11:$Z$226,'Pre-Assessment Estimator'!$N$2,FALSE))</f>
        <v>0</v>
      </c>
      <c r="AK222" s="172">
        <f>IF(VLOOKUP(E222,'Pre-Assessment Estimator'!$E$11:$Z$226,'Pre-Assessment Estimator'!$U$2,FALSE)&gt;AB222,AB222,VLOOKUP(E222,'Pre-Assessment Estimator'!$E$11:$Z$226,'Pre-Assessment Estimator'!$U$2,FALSE))</f>
        <v>0</v>
      </c>
      <c r="AM222" s="292"/>
      <c r="AN222" s="293"/>
      <c r="AO222" s="293"/>
      <c r="AP222" s="293"/>
      <c r="AQ222" s="722"/>
      <c r="AR222" s="139"/>
      <c r="AS222" s="292"/>
      <c r="AT222" s="293"/>
      <c r="AU222" s="293"/>
      <c r="AV222" s="293"/>
      <c r="AW222" s="294"/>
      <c r="AY222" s="188"/>
      <c r="AZ222" s="189"/>
      <c r="BA222" s="189"/>
      <c r="BB222" s="189"/>
      <c r="BC222" s="717">
        <f t="shared" si="543"/>
        <v>0</v>
      </c>
      <c r="BD222" s="182">
        <f t="shared" si="464"/>
        <v>9</v>
      </c>
      <c r="BE222" s="164" t="str">
        <f t="shared" si="576"/>
        <v>N/A</v>
      </c>
      <c r="BF222" s="185"/>
      <c r="BG222" s="182">
        <f t="shared" si="577"/>
        <v>9</v>
      </c>
      <c r="BH222" s="164" t="str">
        <f t="shared" si="578"/>
        <v>N/A</v>
      </c>
      <c r="BI222" s="185"/>
      <c r="BJ222" s="182">
        <f t="shared" si="447"/>
        <v>9</v>
      </c>
      <c r="BK222" s="164" t="str">
        <f t="shared" si="579"/>
        <v>N/A</v>
      </c>
      <c r="BL222" s="185"/>
      <c r="BO222" s="167"/>
      <c r="BP222" s="167"/>
      <c r="BQ222" s="167" t="str">
        <f t="shared" si="554"/>
        <v/>
      </c>
      <c r="BR222" s="167">
        <f t="shared" si="399"/>
        <v>9</v>
      </c>
      <c r="BS222" s="167">
        <f t="shared" si="400"/>
        <v>9</v>
      </c>
      <c r="BT222" s="167">
        <f t="shared" si="401"/>
        <v>9</v>
      </c>
      <c r="BW222" s="167" t="str">
        <f t="shared" si="580"/>
        <v>Inn 06</v>
      </c>
      <c r="BX222" s="167" t="str">
        <f>IFERROR(VLOOKUP($E222,'Pre-Assessment Estimator'!$E$11:$AB$226,'Pre-Assessment Estimator'!AB$2,FALSE),"")</f>
        <v>N/A</v>
      </c>
      <c r="BY222" s="167">
        <f>IFERROR(VLOOKUP($E222,'Pre-Assessment Estimator'!$E$11:$AI$226,'Pre-Assessment Estimator'!AI$2,FALSE),"")</f>
        <v>0</v>
      </c>
      <c r="BZ222" s="167">
        <f t="shared" si="567"/>
        <v>1</v>
      </c>
      <c r="CA222" s="167">
        <f t="shared" si="568"/>
        <v>0</v>
      </c>
      <c r="CB222" s="167"/>
      <c r="CC222" s="96" t="str">
        <f t="shared" si="569"/>
        <v/>
      </c>
    </row>
    <row r="223" spans="1:85" x14ac:dyDescent="0.25">
      <c r="A223" s="96">
        <v>215</v>
      </c>
      <c r="B223" s="130" t="str">
        <f t="shared" si="581"/>
        <v>Inn 07</v>
      </c>
      <c r="C223" s="96" t="s">
        <v>169</v>
      </c>
      <c r="D223" s="166" t="s">
        <v>196</v>
      </c>
      <c r="E223" s="167" t="str">
        <f t="shared" si="570"/>
        <v>Inn 07 - Wat 01: Highly water efficient components</v>
      </c>
      <c r="F223" s="775">
        <v>1</v>
      </c>
      <c r="G223" s="775">
        <v>1</v>
      </c>
      <c r="H223" s="775">
        <v>1</v>
      </c>
      <c r="I223" s="775">
        <v>1</v>
      </c>
      <c r="J223" s="775">
        <v>1</v>
      </c>
      <c r="K223" s="775">
        <v>1</v>
      </c>
      <c r="L223" s="775">
        <v>1</v>
      </c>
      <c r="M223" s="775">
        <v>1</v>
      </c>
      <c r="N223" s="775">
        <v>1</v>
      </c>
      <c r="O223" s="775">
        <v>1</v>
      </c>
      <c r="P223" s="775">
        <v>1</v>
      </c>
      <c r="Q223" s="1129">
        <v>1</v>
      </c>
      <c r="R223" s="1129">
        <v>1</v>
      </c>
      <c r="T223" s="221">
        <f t="shared" si="571"/>
        <v>1</v>
      </c>
      <c r="U223" s="166"/>
      <c r="V223" s="167"/>
      <c r="W223" s="167"/>
      <c r="X223" s="168">
        <f>'Manuell filtrering og justering'!E100</f>
        <v>0</v>
      </c>
      <c r="Y223" s="169"/>
      <c r="Z223" s="1158">
        <f>VLOOKUP(B223,'Manuell filtrering og justering'!$A$7:$H$253,'Manuell filtrering og justering'!$H$1,FALSE)</f>
        <v>1</v>
      </c>
      <c r="AA223" s="169">
        <f t="shared" si="572"/>
        <v>0</v>
      </c>
      <c r="AB223" s="170">
        <f>IF($AC$5='Manuell filtrering og justering'!$J$2,Z223,(T223-AA223))</f>
        <v>1</v>
      </c>
      <c r="AD223" s="171">
        <f>(Inn_Weight/Inn_Credits)*Inn07_credits</f>
        <v>0.01</v>
      </c>
      <c r="AE223" s="171">
        <f t="shared" si="573"/>
        <v>0</v>
      </c>
      <c r="AF223" s="171">
        <f t="shared" si="574"/>
        <v>0</v>
      </c>
      <c r="AG223" s="171">
        <f t="shared" si="575"/>
        <v>0</v>
      </c>
      <c r="AI223" s="214">
        <f>IF(VLOOKUP(E223,'Pre-Assessment Estimator'!$E$11:$Z$226,'Pre-Assessment Estimator'!$G$2,FALSE)&gt;AB223,AB223,VLOOKUP(E223,'Pre-Assessment Estimator'!$E$11:$Z$226,'Pre-Assessment Estimator'!$G$2,FALSE))</f>
        <v>0</v>
      </c>
      <c r="AJ223" s="172">
        <f>IF(VLOOKUP(E223,'Pre-Assessment Estimator'!$E$11:$Z$226,'Pre-Assessment Estimator'!$N$2,FALSE)&gt;AB223,AB223,VLOOKUP(E223,'Pre-Assessment Estimator'!$E$11:$Z$226,'Pre-Assessment Estimator'!$N$2,FALSE))</f>
        <v>0</v>
      </c>
      <c r="AK223" s="172">
        <f>IF(VLOOKUP(E223,'Pre-Assessment Estimator'!$E$11:$Z$226,'Pre-Assessment Estimator'!$U$2,FALSE)&gt;AB223,AB223,VLOOKUP(E223,'Pre-Assessment Estimator'!$E$11:$Z$226,'Pre-Assessment Estimator'!$U$2,FALSE))</f>
        <v>0</v>
      </c>
      <c r="AM223" s="292"/>
      <c r="AN223" s="293"/>
      <c r="AO223" s="293"/>
      <c r="AP223" s="293"/>
      <c r="AQ223" s="722"/>
      <c r="AR223" s="139"/>
      <c r="AS223" s="292"/>
      <c r="AT223" s="293"/>
      <c r="AU223" s="293"/>
      <c r="AV223" s="293"/>
      <c r="AW223" s="294"/>
      <c r="AY223" s="188"/>
      <c r="AZ223" s="189"/>
      <c r="BA223" s="189"/>
      <c r="BB223" s="189"/>
      <c r="BC223" s="717">
        <f t="shared" si="543"/>
        <v>0</v>
      </c>
      <c r="BD223" s="182">
        <f t="shared" si="464"/>
        <v>9</v>
      </c>
      <c r="BE223" s="164" t="str">
        <f t="shared" si="576"/>
        <v>N/A</v>
      </c>
      <c r="BF223" s="185"/>
      <c r="BG223" s="182">
        <f t="shared" si="577"/>
        <v>9</v>
      </c>
      <c r="BH223" s="164" t="str">
        <f t="shared" si="578"/>
        <v>N/A</v>
      </c>
      <c r="BI223" s="185"/>
      <c r="BJ223" s="182">
        <f t="shared" si="447"/>
        <v>9</v>
      </c>
      <c r="BK223" s="164" t="str">
        <f t="shared" si="579"/>
        <v>N/A</v>
      </c>
      <c r="BL223" s="185"/>
      <c r="BO223" s="167"/>
      <c r="BP223" s="167"/>
      <c r="BQ223" s="167" t="str">
        <f t="shared" si="554"/>
        <v/>
      </c>
      <c r="BR223" s="167">
        <f t="shared" ref="BR223:BR230" si="582">IF(BQ223="",9,(IF(AI223&gt;=BQ223,5,0)))</f>
        <v>9</v>
      </c>
      <c r="BS223" s="167">
        <f t="shared" ref="BS223:BS230" si="583">IF(BQ223="",9,(IF(AJ223&gt;=BQ223,5,0)))</f>
        <v>9</v>
      </c>
      <c r="BT223" s="167">
        <f t="shared" ref="BT223:BT230" si="584">IF(BQ223="",9,(IF(AK223&gt;=BQ223,5,0)))</f>
        <v>9</v>
      </c>
      <c r="BW223" s="167" t="str">
        <f t="shared" si="580"/>
        <v>Inn 07</v>
      </c>
      <c r="BX223" s="167" t="str">
        <f>IFERROR(VLOOKUP($E223,'Pre-Assessment Estimator'!$E$11:$AB$226,'Pre-Assessment Estimator'!AB$2,FALSE),"")</f>
        <v>N/A</v>
      </c>
      <c r="BY223" s="167">
        <f>IFERROR(VLOOKUP($E223,'Pre-Assessment Estimator'!$E$11:$AI$226,'Pre-Assessment Estimator'!AI$2,FALSE),"")</f>
        <v>0</v>
      </c>
      <c r="BZ223" s="167">
        <f t="shared" si="567"/>
        <v>1</v>
      </c>
      <c r="CA223" s="167">
        <f t="shared" si="568"/>
        <v>0</v>
      </c>
      <c r="CB223" s="167"/>
      <c r="CC223" s="96" t="str">
        <f t="shared" si="569"/>
        <v/>
      </c>
    </row>
    <row r="224" spans="1:85" x14ac:dyDescent="0.25">
      <c r="A224" s="96">
        <v>216</v>
      </c>
      <c r="B224" s="130" t="str">
        <f t="shared" si="581"/>
        <v>Inn 08</v>
      </c>
      <c r="C224" s="96" t="s">
        <v>173</v>
      </c>
      <c r="D224" s="166" t="s">
        <v>224</v>
      </c>
      <c r="E224" s="167" t="str">
        <f t="shared" si="570"/>
        <v xml:space="preserve">Inn 08 - Mat 01: 60% reduction of greenhouse gas emission </v>
      </c>
      <c r="F224" s="775">
        <v>1</v>
      </c>
      <c r="G224" s="775">
        <v>1</v>
      </c>
      <c r="H224" s="775">
        <v>1</v>
      </c>
      <c r="I224" s="775">
        <v>1</v>
      </c>
      <c r="J224" s="775">
        <v>1</v>
      </c>
      <c r="K224" s="775">
        <v>1</v>
      </c>
      <c r="L224" s="775">
        <v>1</v>
      </c>
      <c r="M224" s="775">
        <v>1</v>
      </c>
      <c r="N224" s="775">
        <v>1</v>
      </c>
      <c r="O224" s="775">
        <v>1</v>
      </c>
      <c r="P224" s="775">
        <v>1</v>
      </c>
      <c r="Q224" s="1129">
        <v>1</v>
      </c>
      <c r="R224" s="1129">
        <v>1</v>
      </c>
      <c r="T224" s="221">
        <f t="shared" si="571"/>
        <v>1</v>
      </c>
      <c r="U224" s="166"/>
      <c r="V224" s="167"/>
      <c r="W224" s="167"/>
      <c r="X224" s="168">
        <f>'Manuell filtrering og justering'!E101</f>
        <v>0</v>
      </c>
      <c r="Y224" s="169"/>
      <c r="Z224" s="1158">
        <f>VLOOKUP(B224,'Manuell filtrering og justering'!$A$7:$H$253,'Manuell filtrering og justering'!$H$1,FALSE)</f>
        <v>1</v>
      </c>
      <c r="AA224" s="169">
        <f t="shared" si="572"/>
        <v>0</v>
      </c>
      <c r="AB224" s="170">
        <f>IF($AC$5='Manuell filtrering og justering'!$J$2,Z224,(T224-AA224))</f>
        <v>1</v>
      </c>
      <c r="AD224" s="171">
        <f>(Inn_Weight/Inn_Credits)*Inn08_credits</f>
        <v>0.01</v>
      </c>
      <c r="AE224" s="171">
        <f t="shared" si="573"/>
        <v>0</v>
      </c>
      <c r="AF224" s="171">
        <f t="shared" si="574"/>
        <v>0</v>
      </c>
      <c r="AG224" s="171">
        <f t="shared" si="575"/>
        <v>0</v>
      </c>
      <c r="AI224" s="214">
        <f>IF(VLOOKUP(E224,'Pre-Assessment Estimator'!$E$11:$Z$226,'Pre-Assessment Estimator'!$G$2,FALSE)&gt;AB224,AB224,VLOOKUP(E224,'Pre-Assessment Estimator'!$E$11:$Z$226,'Pre-Assessment Estimator'!$G$2,FALSE))</f>
        <v>0</v>
      </c>
      <c r="AJ224" s="172">
        <f>IF(VLOOKUP(E224,'Pre-Assessment Estimator'!$E$11:$Z$226,'Pre-Assessment Estimator'!$N$2,FALSE)&gt;AB224,AB224,VLOOKUP(E224,'Pre-Assessment Estimator'!$E$11:$Z$226,'Pre-Assessment Estimator'!$N$2,FALSE))</f>
        <v>0</v>
      </c>
      <c r="AK224" s="172">
        <f>IF(VLOOKUP(E224,'Pre-Assessment Estimator'!$E$11:$Z$226,'Pre-Assessment Estimator'!$U$2,FALSE)&gt;AB224,AB224,VLOOKUP(E224,'Pre-Assessment Estimator'!$E$11:$Z$226,'Pre-Assessment Estimator'!$U$2,FALSE))</f>
        <v>0</v>
      </c>
      <c r="AM224" s="292"/>
      <c r="AN224" s="293"/>
      <c r="AO224" s="293"/>
      <c r="AP224" s="293"/>
      <c r="AQ224" s="722"/>
      <c r="AR224" s="139"/>
      <c r="AS224" s="292"/>
      <c r="AT224" s="293"/>
      <c r="AU224" s="293"/>
      <c r="AV224" s="293"/>
      <c r="AW224" s="294"/>
      <c r="AY224" s="188"/>
      <c r="AZ224" s="189"/>
      <c r="BA224" s="189"/>
      <c r="BB224" s="189"/>
      <c r="BC224" s="717">
        <f>IF($E$6=$H$9,AW224,AQ224)</f>
        <v>0</v>
      </c>
      <c r="BD224" s="182">
        <f t="shared" si="464"/>
        <v>9</v>
      </c>
      <c r="BE224" s="164" t="str">
        <f t="shared" si="576"/>
        <v>N/A</v>
      </c>
      <c r="BF224" s="185"/>
      <c r="BG224" s="182">
        <f t="shared" si="577"/>
        <v>9</v>
      </c>
      <c r="BH224" s="164" t="str">
        <f t="shared" si="578"/>
        <v>N/A</v>
      </c>
      <c r="BI224" s="185"/>
      <c r="BJ224" s="182">
        <f t="shared" si="447"/>
        <v>9</v>
      </c>
      <c r="BK224" s="164" t="str">
        <f t="shared" si="579"/>
        <v>N/A</v>
      </c>
      <c r="BL224" s="185"/>
      <c r="BO224" s="167"/>
      <c r="BP224" s="167"/>
      <c r="BQ224" s="167" t="str">
        <f t="shared" si="554"/>
        <v/>
      </c>
      <c r="BR224" s="167">
        <f t="shared" si="582"/>
        <v>9</v>
      </c>
      <c r="BS224" s="167">
        <f t="shared" si="583"/>
        <v>9</v>
      </c>
      <c r="BT224" s="167">
        <f t="shared" si="584"/>
        <v>9</v>
      </c>
      <c r="BW224" s="167" t="str">
        <f t="shared" si="580"/>
        <v>Inn 08</v>
      </c>
      <c r="BX224" s="167" t="str">
        <f>IFERROR(VLOOKUP($E224,'Pre-Assessment Estimator'!$E$11:$AB$226,'Pre-Assessment Estimator'!AB$2,FALSE),"")</f>
        <v>N/A</v>
      </c>
      <c r="BY224" s="167">
        <f>IFERROR(VLOOKUP($E224,'Pre-Assessment Estimator'!$E$11:$AI$226,'Pre-Assessment Estimator'!AI$2,FALSE),"")</f>
        <v>0</v>
      </c>
      <c r="BZ224" s="167">
        <f t="shared" si="567"/>
        <v>1</v>
      </c>
      <c r="CA224" s="167">
        <f t="shared" si="568"/>
        <v>0</v>
      </c>
      <c r="CB224" s="167"/>
      <c r="CC224" s="96" t="str">
        <f t="shared" si="569"/>
        <v/>
      </c>
    </row>
    <row r="225" spans="1:81" x14ac:dyDescent="0.25">
      <c r="A225" s="96">
        <v>217</v>
      </c>
      <c r="B225" s="130" t="str">
        <f t="shared" si="581"/>
        <v>Inn 09</v>
      </c>
      <c r="C225" s="96" t="s">
        <v>176</v>
      </c>
      <c r="D225" s="166" t="s">
        <v>254</v>
      </c>
      <c r="E225" s="167" t="str">
        <f t="shared" si="570"/>
        <v>Inn 09 - Mat 06: FutureBuilt criteria set for circular buildings, point 2.3 reuse of building components</v>
      </c>
      <c r="F225" s="775">
        <v>1</v>
      </c>
      <c r="G225" s="775">
        <v>1</v>
      </c>
      <c r="H225" s="775">
        <v>1</v>
      </c>
      <c r="I225" s="775">
        <v>1</v>
      </c>
      <c r="J225" s="775">
        <v>1</v>
      </c>
      <c r="K225" s="775">
        <v>1</v>
      </c>
      <c r="L225" s="775">
        <v>1</v>
      </c>
      <c r="M225" s="775">
        <v>1</v>
      </c>
      <c r="N225" s="775">
        <v>1</v>
      </c>
      <c r="O225" s="775">
        <v>1</v>
      </c>
      <c r="P225" s="775">
        <v>1</v>
      </c>
      <c r="Q225" s="1129">
        <v>1</v>
      </c>
      <c r="R225" s="1129">
        <v>1</v>
      </c>
      <c r="T225" s="221">
        <f t="shared" si="571"/>
        <v>1</v>
      </c>
      <c r="U225" s="192"/>
      <c r="V225" s="193"/>
      <c r="W225" s="193"/>
      <c r="X225" s="168">
        <f>'Manuell filtrering og justering'!E102</f>
        <v>0</v>
      </c>
      <c r="Y225" s="169"/>
      <c r="Z225" s="1158">
        <f>VLOOKUP(B225,'Manuell filtrering og justering'!$A$7:$H$253,'Manuell filtrering og justering'!$H$1,FALSE)</f>
        <v>1</v>
      </c>
      <c r="AA225" s="169">
        <f t="shared" si="572"/>
        <v>0</v>
      </c>
      <c r="AB225" s="170">
        <f>IF($AC$5='Manuell filtrering og justering'!$J$2,Z225,(T225-AA225))</f>
        <v>1</v>
      </c>
      <c r="AD225" s="171">
        <f>(Inn_Weight/Inn_Credits)*Inn09_credits</f>
        <v>0.01</v>
      </c>
      <c r="AE225" s="171">
        <f t="shared" si="573"/>
        <v>0</v>
      </c>
      <c r="AF225" s="171">
        <f t="shared" si="574"/>
        <v>0</v>
      </c>
      <c r="AG225" s="171">
        <f t="shared" si="575"/>
        <v>0</v>
      </c>
      <c r="AI225" s="214">
        <f>IF(VLOOKUP(E225,'Pre-Assessment Estimator'!$E$11:$Z$226,'Pre-Assessment Estimator'!$G$2,FALSE)&gt;AB225,AB225,VLOOKUP(E225,'Pre-Assessment Estimator'!$E$11:$Z$226,'Pre-Assessment Estimator'!$G$2,FALSE))</f>
        <v>0</v>
      </c>
      <c r="AJ225" s="172">
        <f>IF(VLOOKUP(E225,'Pre-Assessment Estimator'!$E$11:$Z$226,'Pre-Assessment Estimator'!$N$2,FALSE)&gt;AB225,AB225,VLOOKUP(E225,'Pre-Assessment Estimator'!$E$11:$Z$226,'Pre-Assessment Estimator'!$N$2,FALSE))</f>
        <v>0</v>
      </c>
      <c r="AK225" s="172">
        <f>IF(VLOOKUP(E225,'Pre-Assessment Estimator'!$E$11:$Z$226,'Pre-Assessment Estimator'!$U$2,FALSE)&gt;AB225,AB225,VLOOKUP(E225,'Pre-Assessment Estimator'!$E$11:$Z$226,'Pre-Assessment Estimator'!$U$2,FALSE))</f>
        <v>0</v>
      </c>
      <c r="AM225" s="292"/>
      <c r="AN225" s="293"/>
      <c r="AO225" s="293"/>
      <c r="AP225" s="293"/>
      <c r="AQ225" s="722"/>
      <c r="AR225" s="139"/>
      <c r="AS225" s="292"/>
      <c r="AT225" s="293"/>
      <c r="AU225" s="293"/>
      <c r="AV225" s="293"/>
      <c r="AW225" s="294"/>
      <c r="AY225" s="188"/>
      <c r="AZ225" s="189"/>
      <c r="BA225" s="189"/>
      <c r="BB225" s="189"/>
      <c r="BC225" s="717">
        <f>IF($E$6=$H$9,AW225,AQ225)</f>
        <v>0</v>
      </c>
      <c r="BD225" s="182">
        <f t="shared" si="464"/>
        <v>9</v>
      </c>
      <c r="BE225" s="164" t="str">
        <f t="shared" si="576"/>
        <v>N/A</v>
      </c>
      <c r="BF225" s="185"/>
      <c r="BG225" s="182">
        <f t="shared" si="577"/>
        <v>9</v>
      </c>
      <c r="BH225" s="164" t="str">
        <f t="shared" si="578"/>
        <v>N/A</v>
      </c>
      <c r="BI225" s="185"/>
      <c r="BJ225" s="182">
        <f t="shared" si="447"/>
        <v>9</v>
      </c>
      <c r="BK225" s="164" t="str">
        <f t="shared" si="579"/>
        <v>N/A</v>
      </c>
      <c r="BL225" s="185"/>
      <c r="BO225" s="167"/>
      <c r="BP225" s="167"/>
      <c r="BQ225" s="167" t="str">
        <f t="shared" si="554"/>
        <v/>
      </c>
      <c r="BR225" s="167">
        <f t="shared" si="582"/>
        <v>9</v>
      </c>
      <c r="BS225" s="167">
        <f t="shared" si="583"/>
        <v>9</v>
      </c>
      <c r="BT225" s="167">
        <f t="shared" si="584"/>
        <v>9</v>
      </c>
      <c r="BW225" s="167" t="str">
        <f t="shared" si="580"/>
        <v>Inn 09</v>
      </c>
      <c r="BX225" s="167" t="str">
        <f>IFERROR(VLOOKUP($E225,'Pre-Assessment Estimator'!$E$11:$AB$226,'Pre-Assessment Estimator'!AB$2,FALSE),"")</f>
        <v>N/A</v>
      </c>
      <c r="BY225" s="167">
        <f>IFERROR(VLOOKUP($E225,'Pre-Assessment Estimator'!$E$11:$AI$226,'Pre-Assessment Estimator'!AI$2,FALSE),"")</f>
        <v>0</v>
      </c>
      <c r="BZ225" s="167">
        <f t="shared" si="567"/>
        <v>1</v>
      </c>
      <c r="CA225" s="167">
        <f t="shared" si="568"/>
        <v>0</v>
      </c>
      <c r="CB225" s="167"/>
      <c r="CC225" s="96" t="str">
        <f t="shared" si="569"/>
        <v/>
      </c>
    </row>
    <row r="226" spans="1:81" x14ac:dyDescent="0.25">
      <c r="A226" s="96">
        <v>218</v>
      </c>
      <c r="B226" s="130" t="str">
        <f t="shared" si="581"/>
        <v>Inn 10</v>
      </c>
      <c r="C226" s="96" t="s">
        <v>177</v>
      </c>
      <c r="D226" s="222" t="s">
        <v>474</v>
      </c>
      <c r="E226" s="189" t="str">
        <f t="shared" si="570"/>
        <v xml:space="preserve">Inn 10 - Wst 01: Especially low amount of construction waste </v>
      </c>
      <c r="F226" s="775">
        <v>1</v>
      </c>
      <c r="G226" s="775">
        <v>1</v>
      </c>
      <c r="H226" s="775">
        <v>1</v>
      </c>
      <c r="I226" s="775">
        <v>1</v>
      </c>
      <c r="J226" s="775">
        <v>1</v>
      </c>
      <c r="K226" s="775">
        <v>1</v>
      </c>
      <c r="L226" s="775">
        <v>1</v>
      </c>
      <c r="M226" s="775">
        <v>1</v>
      </c>
      <c r="N226" s="775">
        <v>1</v>
      </c>
      <c r="O226" s="775">
        <v>1</v>
      </c>
      <c r="P226" s="775">
        <v>1</v>
      </c>
      <c r="Q226" s="1129">
        <v>1</v>
      </c>
      <c r="R226" s="1129">
        <v>1</v>
      </c>
      <c r="T226" s="221">
        <f t="shared" si="571"/>
        <v>1</v>
      </c>
      <c r="U226" s="192"/>
      <c r="V226" s="193"/>
      <c r="W226" s="193"/>
      <c r="X226" s="168">
        <f>'Manuell filtrering og justering'!E103</f>
        <v>0</v>
      </c>
      <c r="Y226" s="169"/>
      <c r="Z226" s="1158">
        <f>VLOOKUP(B226,'Manuell filtrering og justering'!$A$7:$H$253,'Manuell filtrering og justering'!$H$1,FALSE)</f>
        <v>1</v>
      </c>
      <c r="AA226" s="169">
        <f t="shared" si="572"/>
        <v>0</v>
      </c>
      <c r="AB226" s="170">
        <f>IF($AC$5='Manuell filtrering og justering'!$J$2,Z226,(T226-AA226))</f>
        <v>1</v>
      </c>
      <c r="AD226" s="171">
        <f>(Inn_Weight/Inn_Credits)*Inn10_credits</f>
        <v>0.01</v>
      </c>
      <c r="AE226" s="171">
        <f t="shared" si="573"/>
        <v>0</v>
      </c>
      <c r="AF226" s="171">
        <f t="shared" si="574"/>
        <v>0</v>
      </c>
      <c r="AG226" s="171">
        <f t="shared" si="575"/>
        <v>0</v>
      </c>
      <c r="AI226" s="214">
        <f>IF(VLOOKUP(E226,'Pre-Assessment Estimator'!$E$11:$Z$226,'Pre-Assessment Estimator'!$G$2,FALSE)&gt;AB226,AB226,VLOOKUP(E226,'Pre-Assessment Estimator'!$E$11:$Z$226,'Pre-Assessment Estimator'!$G$2,FALSE))</f>
        <v>0</v>
      </c>
      <c r="AJ226" s="172">
        <f>IF(VLOOKUP(E226,'Pre-Assessment Estimator'!$E$11:$Z$226,'Pre-Assessment Estimator'!$N$2,FALSE)&gt;AB226,AB226,VLOOKUP(E226,'Pre-Assessment Estimator'!$E$11:$Z$226,'Pre-Assessment Estimator'!$N$2,FALSE))</f>
        <v>0</v>
      </c>
      <c r="AK226" s="172">
        <f>IF(VLOOKUP(E226,'Pre-Assessment Estimator'!$E$11:$Z$226,'Pre-Assessment Estimator'!$U$2,FALSE)&gt;AB226,AB226,VLOOKUP(E226,'Pre-Assessment Estimator'!$E$11:$Z$226,'Pre-Assessment Estimator'!$U$2,FALSE))</f>
        <v>0</v>
      </c>
      <c r="AM226" s="292"/>
      <c r="AN226" s="293"/>
      <c r="AO226" s="293"/>
      <c r="AP226" s="293"/>
      <c r="AQ226" s="722"/>
      <c r="AR226" s="139"/>
      <c r="AS226" s="292"/>
      <c r="AT226" s="293"/>
      <c r="AU226" s="293"/>
      <c r="AV226" s="293"/>
      <c r="AW226" s="294"/>
      <c r="AY226" s="188"/>
      <c r="AZ226" s="189"/>
      <c r="BA226" s="189"/>
      <c r="BB226" s="189"/>
      <c r="BC226" s="717">
        <f t="shared" ref="BC226:BC229" si="585">IF($E$6=$H$9,AW226,AQ226)</f>
        <v>0</v>
      </c>
      <c r="BD226" s="182">
        <f t="shared" ref="BD226:BD229" si="586">IF(BC226=0,9,IF(AI226&gt;=BC226,5,IF(AI226&gt;=BB226,4,IF(AI226&gt;=BA226,3,IF(AI226&gt;=AZ226,2,IF(AI226&lt;AY226,0,1))))))</f>
        <v>9</v>
      </c>
      <c r="BE226" s="164" t="str">
        <f t="shared" si="576"/>
        <v>N/A</v>
      </c>
      <c r="BF226" s="185"/>
      <c r="BG226" s="182">
        <f t="shared" ref="BG226:BG229" si="587">IF(BC226=0,9,IF(AJ226&gt;=BC226,5,IF(AJ226&gt;=BB226,4,IF(AJ226&gt;=BA226,3,IF(AJ226&gt;=AZ226,2,IF(AJ226&lt;AY226,0,1))))))</f>
        <v>9</v>
      </c>
      <c r="BH226" s="164" t="str">
        <f t="shared" si="578"/>
        <v>N/A</v>
      </c>
      <c r="BI226" s="185"/>
      <c r="BJ226" s="182">
        <f t="shared" ref="BJ226:BJ229" si="588">IF(BC226=0,9,IF(AK226&gt;=BC226,5,IF(AK226&gt;=BB226,4,IF(AK226&gt;=BA226,3,IF(AK226&gt;=AZ226,2,IF(AK226&lt;AY226,0,1))))))</f>
        <v>9</v>
      </c>
      <c r="BK226" s="164" t="str">
        <f t="shared" si="579"/>
        <v>N/A</v>
      </c>
      <c r="BL226" s="185"/>
      <c r="BO226" s="167"/>
      <c r="BP226" s="167"/>
      <c r="BQ226" s="167" t="str">
        <f t="shared" si="554"/>
        <v/>
      </c>
      <c r="BR226" s="167">
        <f t="shared" si="582"/>
        <v>9</v>
      </c>
      <c r="BS226" s="167">
        <f t="shared" si="583"/>
        <v>9</v>
      </c>
      <c r="BT226" s="167">
        <f t="shared" si="584"/>
        <v>9</v>
      </c>
      <c r="BW226" s="314"/>
      <c r="BX226" s="314"/>
      <c r="BY226" s="314"/>
      <c r="BZ226" s="314"/>
      <c r="CA226" s="314"/>
      <c r="CB226" s="314"/>
    </row>
    <row r="227" spans="1:81" x14ac:dyDescent="0.25">
      <c r="A227" s="96">
        <v>219</v>
      </c>
      <c r="B227" s="130" t="str">
        <f t="shared" si="581"/>
        <v>Inn 11</v>
      </c>
      <c r="C227" s="96" t="s">
        <v>181</v>
      </c>
      <c r="D227" s="222" t="s">
        <v>475</v>
      </c>
      <c r="E227" s="189" t="str">
        <f t="shared" si="570"/>
        <v>Inn 11 - LE 02: Wider sustainability for the site</v>
      </c>
      <c r="F227" s="775">
        <v>1</v>
      </c>
      <c r="G227" s="775">
        <v>1</v>
      </c>
      <c r="H227" s="775">
        <v>1</v>
      </c>
      <c r="I227" s="775">
        <v>1</v>
      </c>
      <c r="J227" s="775">
        <v>1</v>
      </c>
      <c r="K227" s="775">
        <v>1</v>
      </c>
      <c r="L227" s="775">
        <v>1</v>
      </c>
      <c r="M227" s="775">
        <v>1</v>
      </c>
      <c r="N227" s="775">
        <v>1</v>
      </c>
      <c r="O227" s="775">
        <v>1</v>
      </c>
      <c r="P227" s="775">
        <v>1</v>
      </c>
      <c r="Q227" s="1129">
        <v>1</v>
      </c>
      <c r="R227" s="1129">
        <v>1</v>
      </c>
      <c r="T227" s="221">
        <f t="shared" si="571"/>
        <v>1</v>
      </c>
      <c r="U227" s="192"/>
      <c r="V227" s="193"/>
      <c r="W227" s="193"/>
      <c r="X227" s="168">
        <f>'Manuell filtrering og justering'!E104</f>
        <v>0</v>
      </c>
      <c r="Y227" s="169"/>
      <c r="Z227" s="1158">
        <f>VLOOKUP(B227,'Manuell filtrering og justering'!$A$7:$H$253,'Manuell filtrering og justering'!$H$1,FALSE)</f>
        <v>1</v>
      </c>
      <c r="AA227" s="169">
        <f t="shared" si="572"/>
        <v>0</v>
      </c>
      <c r="AB227" s="170">
        <f>IF($AC$5='Manuell filtrering og justering'!$J$2,Z227,(T227-AA227))</f>
        <v>1</v>
      </c>
      <c r="AD227" s="171">
        <f>(Inn_Weight/Inn_Credits)*Inn11_credits</f>
        <v>0.01</v>
      </c>
      <c r="AE227" s="171">
        <f t="shared" si="573"/>
        <v>0</v>
      </c>
      <c r="AF227" s="171">
        <f t="shared" si="574"/>
        <v>0</v>
      </c>
      <c r="AG227" s="171">
        <f t="shared" si="575"/>
        <v>0</v>
      </c>
      <c r="AI227" s="214">
        <f>IF(VLOOKUP(E227,'Pre-Assessment Estimator'!$E$11:$Z$226,'Pre-Assessment Estimator'!$G$2,FALSE)&gt;AB227,AB227,VLOOKUP(E227,'Pre-Assessment Estimator'!$E$11:$Z$226,'Pre-Assessment Estimator'!$G$2,FALSE))</f>
        <v>0</v>
      </c>
      <c r="AJ227" s="172">
        <f>IF(VLOOKUP(E227,'Pre-Assessment Estimator'!$E$11:$Z$226,'Pre-Assessment Estimator'!$N$2,FALSE)&gt;AB227,AB227,VLOOKUP(E227,'Pre-Assessment Estimator'!$E$11:$Z$226,'Pre-Assessment Estimator'!$N$2,FALSE))</f>
        <v>0</v>
      </c>
      <c r="AK227" s="172">
        <f>IF(VLOOKUP(E227,'Pre-Assessment Estimator'!$E$11:$Z$226,'Pre-Assessment Estimator'!$U$2,FALSE)&gt;AB227,AB227,VLOOKUP(E227,'Pre-Assessment Estimator'!$E$11:$Z$226,'Pre-Assessment Estimator'!$U$2,FALSE))</f>
        <v>0</v>
      </c>
      <c r="AM227" s="292"/>
      <c r="AN227" s="293"/>
      <c r="AO227" s="293"/>
      <c r="AP227" s="293"/>
      <c r="AQ227" s="722"/>
      <c r="AR227" s="139"/>
      <c r="AS227" s="292"/>
      <c r="AT227" s="293"/>
      <c r="AU227" s="293"/>
      <c r="AV227" s="293"/>
      <c r="AW227" s="294"/>
      <c r="AY227" s="188"/>
      <c r="AZ227" s="189"/>
      <c r="BA227" s="189"/>
      <c r="BB227" s="189"/>
      <c r="BC227" s="717">
        <f t="shared" si="585"/>
        <v>0</v>
      </c>
      <c r="BD227" s="182">
        <f t="shared" si="586"/>
        <v>9</v>
      </c>
      <c r="BE227" s="164" t="str">
        <f t="shared" si="576"/>
        <v>N/A</v>
      </c>
      <c r="BF227" s="185"/>
      <c r="BG227" s="182">
        <f t="shared" si="587"/>
        <v>9</v>
      </c>
      <c r="BH227" s="164" t="str">
        <f t="shared" si="578"/>
        <v>N/A</v>
      </c>
      <c r="BI227" s="185"/>
      <c r="BJ227" s="182">
        <f t="shared" si="588"/>
        <v>9</v>
      </c>
      <c r="BK227" s="164" t="str">
        <f t="shared" si="579"/>
        <v>N/A</v>
      </c>
      <c r="BL227" s="185"/>
      <c r="BO227" s="167"/>
      <c r="BP227" s="167"/>
      <c r="BQ227" s="167" t="str">
        <f t="shared" si="554"/>
        <v/>
      </c>
      <c r="BR227" s="167">
        <f t="shared" si="582"/>
        <v>9</v>
      </c>
      <c r="BS227" s="167">
        <f t="shared" si="583"/>
        <v>9</v>
      </c>
      <c r="BT227" s="167">
        <f t="shared" si="584"/>
        <v>9</v>
      </c>
      <c r="BW227" s="314"/>
      <c r="BX227" s="314"/>
      <c r="BY227" s="314"/>
      <c r="BZ227" s="314"/>
      <c r="CA227" s="314"/>
      <c r="CB227" s="314"/>
    </row>
    <row r="228" spans="1:81" x14ac:dyDescent="0.25">
      <c r="A228" s="96">
        <v>220</v>
      </c>
      <c r="B228" s="130" t="str">
        <f t="shared" si="581"/>
        <v>Inn 12</v>
      </c>
      <c r="C228" s="96" t="s">
        <v>182</v>
      </c>
      <c r="D228" s="222" t="s">
        <v>476</v>
      </c>
      <c r="E228" s="189" t="str">
        <f t="shared" si="570"/>
        <v>Inn 12 - LE 04: Significant net gain of biodiversity</v>
      </c>
      <c r="F228" s="775">
        <v>1</v>
      </c>
      <c r="G228" s="775">
        <v>1</v>
      </c>
      <c r="H228" s="775">
        <v>1</v>
      </c>
      <c r="I228" s="775">
        <v>1</v>
      </c>
      <c r="J228" s="775">
        <v>1</v>
      </c>
      <c r="K228" s="775">
        <v>1</v>
      </c>
      <c r="L228" s="775">
        <v>1</v>
      </c>
      <c r="M228" s="775">
        <v>1</v>
      </c>
      <c r="N228" s="775">
        <v>1</v>
      </c>
      <c r="O228" s="775">
        <v>1</v>
      </c>
      <c r="P228" s="775">
        <v>1</v>
      </c>
      <c r="Q228" s="1129">
        <v>1</v>
      </c>
      <c r="R228" s="1129">
        <v>1</v>
      </c>
      <c r="T228" s="221">
        <f t="shared" si="571"/>
        <v>1</v>
      </c>
      <c r="U228" s="192"/>
      <c r="V228" s="193"/>
      <c r="W228" s="193"/>
      <c r="X228" s="168">
        <f>'Manuell filtrering og justering'!E105</f>
        <v>0</v>
      </c>
      <c r="Y228" s="169"/>
      <c r="Z228" s="1158">
        <f>VLOOKUP(B228,'Manuell filtrering og justering'!$A$7:$H$253,'Manuell filtrering og justering'!$H$1,FALSE)</f>
        <v>1</v>
      </c>
      <c r="AA228" s="169">
        <f t="shared" si="572"/>
        <v>0</v>
      </c>
      <c r="AB228" s="170">
        <f>IF($AC$5='Manuell filtrering og justering'!$J$2,Z228,(T228-AA228))</f>
        <v>1</v>
      </c>
      <c r="AD228" s="171">
        <f>(Inn_Weight/Inn_Credits)*Inn12_credits</f>
        <v>0.01</v>
      </c>
      <c r="AE228" s="171">
        <f t="shared" si="573"/>
        <v>0</v>
      </c>
      <c r="AF228" s="171">
        <f t="shared" si="574"/>
        <v>0</v>
      </c>
      <c r="AG228" s="171">
        <f t="shared" si="575"/>
        <v>0</v>
      </c>
      <c r="AI228" s="214">
        <f>IF(VLOOKUP(E228,'Pre-Assessment Estimator'!$E$11:$Z$226,'Pre-Assessment Estimator'!$G$2,FALSE)&gt;AB228,AB228,VLOOKUP(E228,'Pre-Assessment Estimator'!$E$11:$Z$226,'Pre-Assessment Estimator'!$G$2,FALSE))</f>
        <v>0</v>
      </c>
      <c r="AJ228" s="172">
        <f>IF(VLOOKUP(E228,'Pre-Assessment Estimator'!$E$11:$Z$226,'Pre-Assessment Estimator'!$N$2,FALSE)&gt;AB228,AB228,VLOOKUP(E228,'Pre-Assessment Estimator'!$E$11:$Z$226,'Pre-Assessment Estimator'!$N$2,FALSE))</f>
        <v>0</v>
      </c>
      <c r="AK228" s="172">
        <f>IF(VLOOKUP(E228,'Pre-Assessment Estimator'!$E$11:$Z$226,'Pre-Assessment Estimator'!$U$2,FALSE)&gt;AB228,AB228,VLOOKUP(E228,'Pre-Assessment Estimator'!$E$11:$Z$226,'Pre-Assessment Estimator'!$U$2,FALSE))</f>
        <v>0</v>
      </c>
      <c r="AM228" s="292"/>
      <c r="AN228" s="293"/>
      <c r="AO228" s="293"/>
      <c r="AP228" s="293"/>
      <c r="AQ228" s="722"/>
      <c r="AR228" s="139"/>
      <c r="AS228" s="292"/>
      <c r="AT228" s="293"/>
      <c r="AU228" s="293"/>
      <c r="AV228" s="293"/>
      <c r="AW228" s="294"/>
      <c r="AY228" s="188"/>
      <c r="AZ228" s="189"/>
      <c r="BA228" s="189"/>
      <c r="BB228" s="189"/>
      <c r="BC228" s="717">
        <f t="shared" si="585"/>
        <v>0</v>
      </c>
      <c r="BD228" s="182">
        <f t="shared" si="586"/>
        <v>9</v>
      </c>
      <c r="BE228" s="164" t="str">
        <f t="shared" si="576"/>
        <v>N/A</v>
      </c>
      <c r="BF228" s="185"/>
      <c r="BG228" s="182">
        <f t="shared" si="587"/>
        <v>9</v>
      </c>
      <c r="BH228" s="164" t="str">
        <f t="shared" si="578"/>
        <v>N/A</v>
      </c>
      <c r="BI228" s="185"/>
      <c r="BJ228" s="182">
        <f t="shared" si="588"/>
        <v>9</v>
      </c>
      <c r="BK228" s="164" t="str">
        <f t="shared" si="579"/>
        <v>N/A</v>
      </c>
      <c r="BL228" s="185"/>
      <c r="BO228" s="167"/>
      <c r="BP228" s="167"/>
      <c r="BQ228" s="167" t="str">
        <f t="shared" si="554"/>
        <v/>
      </c>
      <c r="BR228" s="167">
        <f t="shared" si="582"/>
        <v>9</v>
      </c>
      <c r="BS228" s="167">
        <f t="shared" si="583"/>
        <v>9</v>
      </c>
      <c r="BT228" s="167">
        <f t="shared" si="584"/>
        <v>9</v>
      </c>
      <c r="BW228" s="314"/>
      <c r="BX228" s="314"/>
      <c r="BY228" s="314"/>
      <c r="BZ228" s="314"/>
      <c r="CA228" s="314"/>
      <c r="CB228" s="314"/>
    </row>
    <row r="229" spans="1:81" ht="15.75" thickBot="1" x14ac:dyDescent="0.3">
      <c r="A229" s="96">
        <v>221</v>
      </c>
      <c r="B229" s="130" t="str">
        <f t="shared" si="581"/>
        <v>Inn 13</v>
      </c>
      <c r="C229" s="96" t="s">
        <v>184</v>
      </c>
      <c r="D229" s="222" t="s">
        <v>477</v>
      </c>
      <c r="E229" s="189" t="str">
        <f t="shared" si="570"/>
        <v>Inn 13 - LE 06: Responding to climate change</v>
      </c>
      <c r="F229" s="775">
        <v>1</v>
      </c>
      <c r="G229" s="775">
        <v>1</v>
      </c>
      <c r="H229" s="775">
        <v>1</v>
      </c>
      <c r="I229" s="775">
        <v>1</v>
      </c>
      <c r="J229" s="775">
        <v>1</v>
      </c>
      <c r="K229" s="775">
        <v>1</v>
      </c>
      <c r="L229" s="775">
        <v>1</v>
      </c>
      <c r="M229" s="775">
        <v>1</v>
      </c>
      <c r="N229" s="775">
        <v>1</v>
      </c>
      <c r="O229" s="775">
        <v>1</v>
      </c>
      <c r="P229" s="775">
        <v>1</v>
      </c>
      <c r="Q229" s="1129">
        <v>1</v>
      </c>
      <c r="R229" s="1129">
        <v>1</v>
      </c>
      <c r="T229" s="221">
        <f t="shared" si="571"/>
        <v>1</v>
      </c>
      <c r="U229" s="192"/>
      <c r="V229" s="193"/>
      <c r="W229" s="193"/>
      <c r="X229" s="168">
        <f>'Manuell filtrering og justering'!E106</f>
        <v>0</v>
      </c>
      <c r="Y229" s="169"/>
      <c r="Z229" s="1158">
        <f>VLOOKUP(B229,'Manuell filtrering og justering'!$A$7:$H$253,'Manuell filtrering og justering'!$H$1,FALSE)</f>
        <v>1</v>
      </c>
      <c r="AA229" s="169">
        <f t="shared" si="572"/>
        <v>0</v>
      </c>
      <c r="AB229" s="170">
        <f>IF($AC$5='Manuell filtrering og justering'!$J$2,Z229,(T229-AA229))</f>
        <v>1</v>
      </c>
      <c r="AD229" s="171">
        <f>(Inn_Weight/Inn_Credits)*Inn13_credits</f>
        <v>0.01</v>
      </c>
      <c r="AE229" s="171">
        <f t="shared" si="573"/>
        <v>0</v>
      </c>
      <c r="AF229" s="171">
        <f t="shared" si="574"/>
        <v>0</v>
      </c>
      <c r="AG229" s="171">
        <f t="shared" si="575"/>
        <v>0</v>
      </c>
      <c r="AI229" s="214">
        <f>IF(VLOOKUP(E229,'Pre-Assessment Estimator'!$E$11:$Z$226,'Pre-Assessment Estimator'!$G$2,FALSE)&gt;AB229,AB229,VLOOKUP(E229,'Pre-Assessment Estimator'!$E$11:$Z$226,'Pre-Assessment Estimator'!$G$2,FALSE))</f>
        <v>0</v>
      </c>
      <c r="AJ229" s="172">
        <f>IF(VLOOKUP(E229,'Pre-Assessment Estimator'!$E$11:$Z$226,'Pre-Assessment Estimator'!$N$2,FALSE)&gt;AB229,AB229,VLOOKUP(E229,'Pre-Assessment Estimator'!$E$11:$Z$226,'Pre-Assessment Estimator'!$N$2,FALSE))</f>
        <v>0</v>
      </c>
      <c r="AK229" s="172">
        <f>IF(VLOOKUP(E229,'Pre-Assessment Estimator'!$E$11:$Z$226,'Pre-Assessment Estimator'!$U$2,FALSE)&gt;AB229,AB229,VLOOKUP(E229,'Pre-Assessment Estimator'!$E$11:$Z$226,'Pre-Assessment Estimator'!$U$2,FALSE))</f>
        <v>0</v>
      </c>
      <c r="AM229" s="295"/>
      <c r="AN229" s="296"/>
      <c r="AO229" s="296"/>
      <c r="AP229" s="296"/>
      <c r="AQ229" s="723"/>
      <c r="AR229" s="139"/>
      <c r="AS229" s="295"/>
      <c r="AT229" s="296"/>
      <c r="AU229" s="296"/>
      <c r="AV229" s="296"/>
      <c r="AW229" s="297"/>
      <c r="AY229" s="194"/>
      <c r="AZ229" s="196"/>
      <c r="BA229" s="196"/>
      <c r="BB229" s="196"/>
      <c r="BC229" s="718">
        <f t="shared" si="585"/>
        <v>0</v>
      </c>
      <c r="BD229" s="198">
        <f t="shared" si="586"/>
        <v>9</v>
      </c>
      <c r="BE229" s="164" t="str">
        <f t="shared" si="576"/>
        <v>N/A</v>
      </c>
      <c r="BF229" s="200"/>
      <c r="BG229" s="198">
        <f t="shared" si="587"/>
        <v>9</v>
      </c>
      <c r="BH229" s="164" t="str">
        <f t="shared" si="578"/>
        <v>N/A</v>
      </c>
      <c r="BI229" s="200"/>
      <c r="BJ229" s="198">
        <f t="shared" si="588"/>
        <v>9</v>
      </c>
      <c r="BK229" s="164" t="str">
        <f t="shared" si="579"/>
        <v>N/A</v>
      </c>
      <c r="BL229" s="200"/>
      <c r="BO229" s="167"/>
      <c r="BP229" s="167"/>
      <c r="BQ229" s="167" t="str">
        <f t="shared" si="554"/>
        <v/>
      </c>
      <c r="BR229" s="167">
        <f t="shared" si="582"/>
        <v>9</v>
      </c>
      <c r="BS229" s="167">
        <f t="shared" si="583"/>
        <v>9</v>
      </c>
      <c r="BT229" s="167">
        <f t="shared" si="584"/>
        <v>9</v>
      </c>
      <c r="BW229" s="314"/>
      <c r="BX229" s="314"/>
      <c r="BY229" s="314"/>
      <c r="BZ229" s="314"/>
      <c r="CA229" s="314"/>
      <c r="CB229" s="314"/>
    </row>
    <row r="230" spans="1:81" ht="15.75" thickBot="1" x14ac:dyDescent="0.3">
      <c r="A230" s="96">
        <v>222</v>
      </c>
      <c r="B230" s="130" t="str">
        <f t="shared" si="581"/>
        <v>Inn 14</v>
      </c>
      <c r="C230" s="96" t="s">
        <v>482</v>
      </c>
      <c r="D230" s="719" t="s">
        <v>698</v>
      </c>
      <c r="E230" s="196" t="str">
        <f t="shared" si="570"/>
        <v>Inn 14 - LE 08: Wider approach to surface water management</v>
      </c>
      <c r="F230" s="944">
        <v>1</v>
      </c>
      <c r="G230" s="944">
        <v>1</v>
      </c>
      <c r="H230" s="944">
        <v>1</v>
      </c>
      <c r="I230" s="944">
        <v>1</v>
      </c>
      <c r="J230" s="944">
        <v>1</v>
      </c>
      <c r="K230" s="944">
        <v>1</v>
      </c>
      <c r="L230" s="944">
        <v>1</v>
      </c>
      <c r="M230" s="944">
        <v>1</v>
      </c>
      <c r="N230" s="944">
        <v>1</v>
      </c>
      <c r="O230" s="944">
        <v>1</v>
      </c>
      <c r="P230" s="944">
        <v>1</v>
      </c>
      <c r="Q230" s="1130">
        <v>1</v>
      </c>
      <c r="R230" s="1130">
        <v>1</v>
      </c>
      <c r="T230" s="854">
        <f t="shared" si="571"/>
        <v>1</v>
      </c>
      <c r="U230" s="192"/>
      <c r="V230" s="193"/>
      <c r="W230" s="193"/>
      <c r="X230" s="1164"/>
      <c r="Y230" s="1180"/>
      <c r="Z230" s="1158">
        <f>VLOOKUP(B230,'Manuell filtrering og justering'!$A$7:$H$253,'Manuell filtrering og justering'!$H$1,FALSE)</f>
        <v>1</v>
      </c>
      <c r="AA230" s="169">
        <f t="shared" si="572"/>
        <v>0</v>
      </c>
      <c r="AB230" s="170">
        <f>IF($AC$5='Manuell filtrering og justering'!$J$2,Z230,(T230-AA230))</f>
        <v>1</v>
      </c>
      <c r="AD230" s="171">
        <f>(Inn_Weight/Inn_Credits)*AB230</f>
        <v>0.01</v>
      </c>
      <c r="AE230" s="171">
        <f t="shared" si="573"/>
        <v>0</v>
      </c>
      <c r="AF230" s="171">
        <f t="shared" si="574"/>
        <v>0</v>
      </c>
      <c r="AG230" s="171">
        <f t="shared" si="575"/>
        <v>0</v>
      </c>
      <c r="AI230" s="214">
        <f>IF(VLOOKUP(E230,'Pre-Assessment Estimator'!$E$11:$Z$226,'Pre-Assessment Estimator'!$G$2,FALSE)&gt;AB230,AB230,VLOOKUP(E230,'Pre-Assessment Estimator'!$E$11:$Z$226,'Pre-Assessment Estimator'!$G$2,FALSE))</f>
        <v>0</v>
      </c>
      <c r="AJ230" s="172">
        <f>IF(VLOOKUP(E230,'Pre-Assessment Estimator'!$E$11:$Z$226,'Pre-Assessment Estimator'!$N$2,FALSE)&gt;AB230,AB230,VLOOKUP(E230,'Pre-Assessment Estimator'!$E$11:$Z$226,'Pre-Assessment Estimator'!$N$2,FALSE))</f>
        <v>0</v>
      </c>
      <c r="AK230" s="172">
        <f>IF(VLOOKUP(E230,'Pre-Assessment Estimator'!$E$11:$Z$226,'Pre-Assessment Estimator'!$U$2,FALSE)&gt;AB230,AB230,VLOOKUP(E230,'Pre-Assessment Estimator'!$E$11:$Z$226,'Pre-Assessment Estimator'!$U$2,FALSE))</f>
        <v>0</v>
      </c>
      <c r="AM230" s="292"/>
      <c r="AN230" s="293"/>
      <c r="AO230" s="293"/>
      <c r="AP230" s="293"/>
      <c r="AQ230" s="722"/>
      <c r="AR230" s="139"/>
      <c r="AS230" s="292"/>
      <c r="AT230" s="293"/>
      <c r="AU230" s="293"/>
      <c r="AV230" s="293"/>
      <c r="AW230" s="294"/>
      <c r="AY230" s="188"/>
      <c r="AZ230" s="189"/>
      <c r="BA230" s="189"/>
      <c r="BB230" s="189"/>
      <c r="BC230" s="717">
        <f t="shared" ref="BC230" si="589">IF($E$6=$H$9,AW230,AQ230)</f>
        <v>0</v>
      </c>
      <c r="BD230" s="182">
        <f t="shared" ref="BD230" si="590">IF(BC230=0,9,IF(AI230&gt;=BC230,5,IF(AI230&gt;=BB230,4,IF(AI230&gt;=BA230,3,IF(AI230&gt;=AZ230,2,IF(AI230&lt;AY230,0,1))))))</f>
        <v>9</v>
      </c>
      <c r="BE230" s="164" t="str">
        <f t="shared" si="576"/>
        <v>N/A</v>
      </c>
      <c r="BF230" s="185"/>
      <c r="BG230" s="182">
        <f t="shared" ref="BG230" si="591">IF(BC230=0,9,IF(AJ230&gt;=BC230,5,IF(AJ230&gt;=BB230,4,IF(AJ230&gt;=BA230,3,IF(AJ230&gt;=AZ230,2,IF(AJ230&lt;AY230,0,1))))))</f>
        <v>9</v>
      </c>
      <c r="BH230" s="164" t="str">
        <f t="shared" si="578"/>
        <v>N/A</v>
      </c>
      <c r="BI230" s="185"/>
      <c r="BJ230" s="182">
        <f t="shared" ref="BJ230" si="592">IF(BC230=0,9,IF(AK230&gt;=BC230,5,IF(AK230&gt;=BB230,4,IF(AK230&gt;=BA230,3,IF(AK230&gt;=AZ230,2,IF(AK230&lt;AY230,0,1))))))</f>
        <v>9</v>
      </c>
      <c r="BK230" s="164" t="str">
        <f t="shared" si="579"/>
        <v>N/A</v>
      </c>
      <c r="BL230" s="185"/>
      <c r="BO230" s="167"/>
      <c r="BP230" s="167"/>
      <c r="BQ230" s="167" t="str">
        <f t="shared" si="554"/>
        <v/>
      </c>
      <c r="BR230" s="167">
        <f t="shared" si="582"/>
        <v>9</v>
      </c>
      <c r="BS230" s="167">
        <f t="shared" si="583"/>
        <v>9</v>
      </c>
      <c r="BT230" s="167">
        <f t="shared" si="584"/>
        <v>9</v>
      </c>
      <c r="BW230" s="314"/>
      <c r="BX230" s="314"/>
      <c r="BY230" s="314"/>
      <c r="BZ230" s="314"/>
      <c r="CA230" s="314"/>
      <c r="CB230" s="314"/>
    </row>
    <row r="231" spans="1:81" ht="15.75" thickBot="1" x14ac:dyDescent="0.3">
      <c r="A231" s="96">
        <v>223</v>
      </c>
      <c r="B231" s="130" t="s">
        <v>891</v>
      </c>
      <c r="D231" s="711" t="s">
        <v>214</v>
      </c>
      <c r="E231" s="710"/>
      <c r="F231" s="774">
        <f>IF(SUM(F217:F230)&gt;10,10,SUM(F217:F230))</f>
        <v>10</v>
      </c>
      <c r="G231" s="774">
        <f t="shared" ref="G231:R231" si="593">IF(SUM(G217:G230)&gt;10,10,SUM(G217:G230))</f>
        <v>10</v>
      </c>
      <c r="H231" s="774">
        <f t="shared" si="593"/>
        <v>10</v>
      </c>
      <c r="I231" s="774">
        <f t="shared" si="593"/>
        <v>10</v>
      </c>
      <c r="J231" s="774">
        <f t="shared" si="593"/>
        <v>10</v>
      </c>
      <c r="K231" s="774">
        <f t="shared" si="593"/>
        <v>10</v>
      </c>
      <c r="L231" s="774">
        <f t="shared" si="593"/>
        <v>10</v>
      </c>
      <c r="M231" s="774">
        <f t="shared" si="593"/>
        <v>10</v>
      </c>
      <c r="N231" s="774">
        <f t="shared" si="593"/>
        <v>10</v>
      </c>
      <c r="O231" s="774">
        <f t="shared" si="593"/>
        <v>10</v>
      </c>
      <c r="P231" s="774">
        <f t="shared" si="593"/>
        <v>10</v>
      </c>
      <c r="Q231" s="774">
        <f t="shared" ref="Q231" si="594">IF(SUM(Q217:Q230)&gt;10,10,SUM(Q217:Q230))</f>
        <v>10</v>
      </c>
      <c r="R231" s="774">
        <f t="shared" si="593"/>
        <v>10</v>
      </c>
      <c r="T231" s="226">
        <f t="shared" si="571"/>
        <v>10</v>
      </c>
      <c r="U231" s="204"/>
      <c r="V231" s="205"/>
      <c r="W231" s="205"/>
      <c r="X231" s="206"/>
      <c r="Y231" s="207"/>
      <c r="Z231" s="1161"/>
      <c r="AA231" s="207">
        <f>SUM(AA217:AA230)</f>
        <v>0</v>
      </c>
      <c r="AB231" s="227">
        <f>IF(SUM(AB217:AB230)&gt;10,10,SUM(AB217:AB230))</f>
        <v>10</v>
      </c>
      <c r="AD231" s="234">
        <f>IF(SUM(AD217:AD230)&gt;0.1,0.1,(SUM(AD217:AD230)))</f>
        <v>0.1</v>
      </c>
      <c r="AE231" s="234">
        <f>IF(SUM(AE217:AE230)&gt;0.1,0.1,(SUM(AE217:AE230)))</f>
        <v>0</v>
      </c>
      <c r="AF231" s="234">
        <f>IF(SUM(AF217:AF230)&gt;0.1,0.1,(SUM(AF217:AF230)))</f>
        <v>0</v>
      </c>
      <c r="AG231" s="234">
        <f>IF(SUM(AG217:AG230)&gt;0.1,0.1,(SUM(AG217:AG230)))</f>
        <v>0</v>
      </c>
      <c r="AI231" s="44">
        <f>IF(SUM(AI217:AI230)&gt;10,10,SUM(AI217:AI230))</f>
        <v>0</v>
      </c>
      <c r="AJ231" s="44">
        <f>IF(SUM(AJ217:AJ230)&gt;10,10,SUM(AJ217:AJ230))</f>
        <v>0</v>
      </c>
      <c r="AK231" s="44">
        <f>IF(SUM(AK217:AK230)&gt;10,10,SUM(AK217:AK230))</f>
        <v>0</v>
      </c>
      <c r="AY231" s="97"/>
      <c r="AZ231" s="97"/>
      <c r="BA231" s="97"/>
      <c r="BB231" s="97"/>
      <c r="BC231" s="235"/>
      <c r="BD231" s="236"/>
      <c r="BW231" s="202"/>
      <c r="BX231" s="202" t="str">
        <f>IFERROR(VLOOKUP($E231,'Pre-Assessment Estimator'!$E$11:$AB$226,'Pre-Assessment Estimator'!AB$2,FALSE),"")</f>
        <v/>
      </c>
      <c r="BY231" s="202" t="str">
        <f>IFERROR(VLOOKUP($E231,'Pre-Assessment Estimator'!$E$11:$AI$226,'Pre-Assessment Estimator'!AI$2,FALSE),"")</f>
        <v/>
      </c>
      <c r="BZ231" s="202" t="str">
        <f t="shared" ref="BZ231:CA233" si="595">IFERROR(VLOOKUP($BX231,$E$293:$H$326,F$291,FALSE),"")</f>
        <v/>
      </c>
      <c r="CA231" s="202" t="str">
        <f t="shared" si="595"/>
        <v/>
      </c>
      <c r="CB231" s="202"/>
      <c r="CC231" s="96" t="str">
        <f>IFERROR(VLOOKUP($BX231,$E$293:$H$326,I$291,FALSE),"")</f>
        <v/>
      </c>
    </row>
    <row r="232" spans="1:81" ht="15.75" thickBot="1" x14ac:dyDescent="0.3">
      <c r="A232" s="96">
        <v>224</v>
      </c>
      <c r="AY232" s="97"/>
      <c r="AZ232" s="97"/>
      <c r="BA232" s="97"/>
      <c r="BB232" s="97"/>
      <c r="BC232" s="235"/>
      <c r="BD232" s="236"/>
      <c r="BX232" s="96" t="str">
        <f>IFERROR(VLOOKUP($E232,'Pre-Assessment Estimator'!$E$11:$AB$226,'Pre-Assessment Estimator'!AB$2,FALSE),"")</f>
        <v/>
      </c>
      <c r="BY232" s="96" t="str">
        <f>IFERROR(VLOOKUP($E232,'Pre-Assessment Estimator'!$E$11:$AI$226,'Pre-Assessment Estimator'!AI$2,FALSE),"")</f>
        <v/>
      </c>
      <c r="BZ232" s="96" t="str">
        <f t="shared" si="595"/>
        <v/>
      </c>
      <c r="CA232" s="96" t="str">
        <f t="shared" si="595"/>
        <v/>
      </c>
      <c r="CC232" s="96" t="str">
        <f>IFERROR(VLOOKUP($BX232,$E$293:$H$326,I$291,FALSE),"")</f>
        <v/>
      </c>
    </row>
    <row r="233" spans="1:81" ht="60.75" thickBot="1" x14ac:dyDescent="0.3">
      <c r="A233" s="96">
        <v>225</v>
      </c>
      <c r="D233" s="151"/>
      <c r="E233" s="152" t="s">
        <v>233</v>
      </c>
      <c r="F233" s="1241" t="str">
        <f>$F$9</f>
        <v>Office</v>
      </c>
      <c r="G233" s="1241" t="str">
        <f>$G$9</f>
        <v>Retail</v>
      </c>
      <c r="H233" s="1245" t="str">
        <f>$H$9</f>
        <v>Residential</v>
      </c>
      <c r="I233" s="1241" t="str">
        <f>$I$9</f>
        <v>Industrial</v>
      </c>
      <c r="J233" s="1243" t="str">
        <f>$J$9</f>
        <v>Healthcare</v>
      </c>
      <c r="K233" s="1243" t="str">
        <f>$K$9</f>
        <v>Prison</v>
      </c>
      <c r="L233" s="1243" t="str">
        <f>$L$9</f>
        <v>Law Court</v>
      </c>
      <c r="M233" s="1247" t="str">
        <f>$M$9</f>
        <v>Residential institution (long term stay)</v>
      </c>
      <c r="N233" s="918" t="str">
        <f>$N$9</f>
        <v>Residential institution (short term stay)</v>
      </c>
      <c r="O233" s="918" t="str">
        <f>$O$9</f>
        <v>Non-residential institution</v>
      </c>
      <c r="P233" s="918" t="str">
        <f>$P$9</f>
        <v>Assembly and leisure</v>
      </c>
      <c r="Q233" s="1243" t="str">
        <f>$Q$9</f>
        <v>Education</v>
      </c>
      <c r="R233" s="857" t="str">
        <f>$R$9</f>
        <v>Other</v>
      </c>
      <c r="T233" s="138" t="str">
        <f>$E$6</f>
        <v>Office</v>
      </c>
      <c r="U233" s="237"/>
      <c r="V233" s="238"/>
      <c r="W233" s="211"/>
      <c r="X233" s="211"/>
      <c r="Y233" s="1165" t="s">
        <v>412</v>
      </c>
      <c r="Z233" s="347" t="s">
        <v>335</v>
      </c>
      <c r="AA233" s="150" t="s">
        <v>214</v>
      </c>
      <c r="AB233" s="59" t="s">
        <v>15</v>
      </c>
      <c r="AI233" s="42"/>
      <c r="AJ233" s="60"/>
      <c r="AK233" s="60"/>
      <c r="AY233" s="97"/>
      <c r="AZ233" s="97"/>
      <c r="BA233" s="97"/>
      <c r="BB233" s="97"/>
      <c r="BC233" s="235"/>
      <c r="BD233" s="236"/>
      <c r="BO233" s="60"/>
      <c r="BP233" s="60"/>
      <c r="BQ233" s="60"/>
      <c r="BR233" s="60"/>
      <c r="BS233" s="60"/>
      <c r="BT233" s="60"/>
      <c r="BW233" s="146"/>
      <c r="BX233" s="146" t="str">
        <f>E233</f>
        <v>Spesialtilfeller</v>
      </c>
      <c r="BY233" s="146" t="str">
        <f>IFERROR(VLOOKUP($E233,'Pre-Assessment Estimator'!$E$11:$AI$226,'Pre-Assessment Estimator'!AI$2,FALSE),"")</f>
        <v/>
      </c>
      <c r="BZ233" s="146" t="str">
        <f t="shared" si="595"/>
        <v/>
      </c>
      <c r="CA233" s="146" t="str">
        <f t="shared" si="595"/>
        <v/>
      </c>
      <c r="CB233" s="146"/>
      <c r="CC233" s="96" t="str">
        <f>IFERROR(VLOOKUP($BX233,$E$293:$H$326,I$291,FALSE),"")</f>
        <v/>
      </c>
    </row>
    <row r="234" spans="1:81" ht="15.75" thickBot="1" x14ac:dyDescent="0.3">
      <c r="A234" s="96">
        <v>226</v>
      </c>
      <c r="B234" s="96" t="s">
        <v>728</v>
      </c>
      <c r="C234" s="96" t="s">
        <v>117</v>
      </c>
      <c r="D234" s="732" t="s">
        <v>728</v>
      </c>
      <c r="E234" s="973" t="s">
        <v>1031</v>
      </c>
      <c r="F234" s="776" t="s">
        <v>234</v>
      </c>
      <c r="G234" s="776" t="s">
        <v>234</v>
      </c>
      <c r="H234" s="776" t="s">
        <v>234</v>
      </c>
      <c r="I234" s="776" t="s">
        <v>234</v>
      </c>
      <c r="J234" s="776" t="s">
        <v>234</v>
      </c>
      <c r="K234" s="776" t="s">
        <v>234</v>
      </c>
      <c r="L234" s="776" t="s">
        <v>234</v>
      </c>
      <c r="M234" s="776" t="s">
        <v>234</v>
      </c>
      <c r="N234" s="776" t="s">
        <v>234</v>
      </c>
      <c r="O234" s="776" t="s">
        <v>234</v>
      </c>
      <c r="P234" s="776" t="s">
        <v>234</v>
      </c>
      <c r="Q234" s="777" t="s">
        <v>234</v>
      </c>
      <c r="R234" s="777" t="s">
        <v>234</v>
      </c>
      <c r="T234" s="212" t="str">
        <f t="shared" ref="T234:T252" si="596">HLOOKUP($E$6,$F$9:$R$252,$A234,FALSE)</f>
        <v>Yes/No</v>
      </c>
      <c r="U234" s="169"/>
      <c r="V234" s="239"/>
      <c r="W234" s="167"/>
      <c r="X234" s="167"/>
      <c r="Y234" s="168"/>
      <c r="Z234" s="168"/>
      <c r="AA234" s="169"/>
      <c r="AB234" s="213" t="str">
        <f t="shared" ref="AB234:AB248" si="597">T234</f>
        <v>Yes/No</v>
      </c>
      <c r="AD234" s="171"/>
      <c r="AE234" s="240" t="s">
        <v>235</v>
      </c>
      <c r="AF234" s="240" t="s">
        <v>235</v>
      </c>
      <c r="AG234" s="240" t="s">
        <v>235</v>
      </c>
      <c r="AI234" s="214">
        <f>IF(VLOOKUP(E234,'Pre-Assessment Estimator'!$E$11:$AB$226,'Pre-Assessment Estimator'!$G$2,FALSE)&gt;AB234,AB234,VLOOKUP(E234,'Pre-Assessment Estimator'!$E$11:$AB$226,'Pre-Assessment Estimator'!$G$2,FALSE))</f>
        <v>0</v>
      </c>
      <c r="AJ234" s="172">
        <f>IF(VLOOKUP(E234,'Pre-Assessment Estimator'!$E$11:$AB$226,'Pre-Assessment Estimator'!$N$2,FALSE)&gt;AB234,AB234,VLOOKUP(E234,'Pre-Assessment Estimator'!$E$11:$AB$226,'Pre-Assessment Estimator'!$N$2,FALSE))</f>
        <v>0</v>
      </c>
      <c r="AK234" s="172">
        <f>IF(VLOOKUP(E234,'Pre-Assessment Estimator'!$E$11:$AB$226,'Pre-Assessment Estimator'!$U$2,FALSE)&gt;AB234,AB234,VLOOKUP(E234,'Pre-Assessment Estimator'!$E$11:$AB$226,'Pre-Assessment Estimator'!$U$2,FALSE))</f>
        <v>0</v>
      </c>
      <c r="AM234" s="215" t="s">
        <v>12</v>
      </c>
      <c r="AN234" s="216" t="s">
        <v>12</v>
      </c>
      <c r="AO234" s="216" t="s">
        <v>12</v>
      </c>
      <c r="AP234" s="216" t="s">
        <v>12</v>
      </c>
      <c r="AQ234" s="217" t="s">
        <v>12</v>
      </c>
      <c r="AS234" s="215" t="s">
        <v>12</v>
      </c>
      <c r="AT234" s="216" t="s">
        <v>12</v>
      </c>
      <c r="AU234" s="216" t="s">
        <v>12</v>
      </c>
      <c r="AV234" s="216" t="s">
        <v>12</v>
      </c>
      <c r="AW234" s="217" t="s">
        <v>12</v>
      </c>
      <c r="AY234" s="174" t="str">
        <f t="shared" ref="AY234" si="598">IF($E$6=$H$9,AS234,AM234)</f>
        <v>Yes</v>
      </c>
      <c r="AZ234" s="175" t="str">
        <f t="shared" ref="AZ234" si="599">IF($E$6=$H$9,AT234,AN234)</f>
        <v>Yes</v>
      </c>
      <c r="BA234" s="175" t="str">
        <f t="shared" ref="BA234" si="600">IF($E$6=$H$9,AU234,AO234)</f>
        <v>Yes</v>
      </c>
      <c r="BB234" s="175" t="str">
        <f t="shared" ref="BB234" si="601">IF($E$6=$H$9,AV234,AP234)</f>
        <v>Yes</v>
      </c>
      <c r="BC234" s="1118" t="str">
        <f t="shared" ref="BC234" si="602">IF($E$6=$H$9,AW234,AQ234)</f>
        <v>Yes</v>
      </c>
      <c r="BD234" s="182">
        <f>IF(AI234="Yes",5,0)</f>
        <v>0</v>
      </c>
      <c r="BE234" s="164" t="str">
        <f t="shared" ref="BE234:BE251" si="603">VLOOKUP(BD234,$BO$284:$BT$290,6,FALSE)</f>
        <v>Unclassified</v>
      </c>
      <c r="BF234" s="178"/>
      <c r="BG234" s="182">
        <f t="shared" ref="BG234" si="604">IF(AJ234="Yes",5,0)</f>
        <v>0</v>
      </c>
      <c r="BH234" s="164" t="str">
        <f t="shared" ref="BH234:BH251" si="605">VLOOKUP(BG234,$BO$284:$BT$290,6,FALSE)</f>
        <v>Unclassified</v>
      </c>
      <c r="BI234" s="178"/>
      <c r="BJ234" s="182">
        <f t="shared" ref="BJ234" si="606">IF(AK234="Yes",5,0)</f>
        <v>0</v>
      </c>
      <c r="BK234" s="164" t="str">
        <f t="shared" ref="BK234:BK251" si="607">VLOOKUP(BJ234,$BO$284:$BT$290,6,FALSE)</f>
        <v>Unclassified</v>
      </c>
      <c r="BL234" s="178"/>
      <c r="BO234" s="167"/>
      <c r="BP234" s="167"/>
      <c r="BQ234" s="167" t="str">
        <f t="shared" si="554"/>
        <v/>
      </c>
      <c r="BR234" s="167">
        <f t="shared" ref="BR234:BR249" si="608">IF(BQ234="",9,(IF(AI234=AD_Yes,5,0)))</f>
        <v>9</v>
      </c>
      <c r="BS234" s="167">
        <f t="shared" ref="BS234:BS249" si="609">IF(BQ234="",9,(IF(AJ234=AD_Yes,5,0)))</f>
        <v>9</v>
      </c>
      <c r="BT234" s="167">
        <f t="shared" ref="BT234:BT249" si="610">IF(BQ234="",9,(IF(AK234=AD_Yes,5,0)))</f>
        <v>9</v>
      </c>
      <c r="BW234" s="177"/>
      <c r="BX234" s="177"/>
      <c r="BY234" s="177"/>
      <c r="BZ234" s="177"/>
      <c r="CA234" s="177"/>
      <c r="CB234" s="177"/>
    </row>
    <row r="235" spans="1:81" x14ac:dyDescent="0.25">
      <c r="A235" s="96">
        <v>227</v>
      </c>
      <c r="B235" s="96" t="s">
        <v>1030</v>
      </c>
      <c r="C235" s="96" t="s">
        <v>117</v>
      </c>
      <c r="D235" s="1111" t="s">
        <v>1030</v>
      </c>
      <c r="E235" s="1112" t="s">
        <v>1032</v>
      </c>
      <c r="F235" s="1113" t="s">
        <v>234</v>
      </c>
      <c r="G235" s="1113" t="s">
        <v>234</v>
      </c>
      <c r="H235" s="1113" t="s">
        <v>234</v>
      </c>
      <c r="I235" s="1113" t="s">
        <v>234</v>
      </c>
      <c r="J235" s="1113" t="s">
        <v>234</v>
      </c>
      <c r="K235" s="1113" t="s">
        <v>234</v>
      </c>
      <c r="L235" s="1113" t="s">
        <v>234</v>
      </c>
      <c r="M235" s="1113" t="s">
        <v>234</v>
      </c>
      <c r="N235" s="1113" t="s">
        <v>234</v>
      </c>
      <c r="O235" s="1113" t="s">
        <v>234</v>
      </c>
      <c r="P235" s="1113" t="s">
        <v>234</v>
      </c>
      <c r="Q235" s="1114" t="s">
        <v>234</v>
      </c>
      <c r="R235" s="1114" t="s">
        <v>234</v>
      </c>
      <c r="T235" s="212" t="str">
        <f t="shared" si="596"/>
        <v>Yes/No</v>
      </c>
      <c r="U235" s="169"/>
      <c r="V235" s="239"/>
      <c r="W235" s="167"/>
      <c r="X235" s="167"/>
      <c r="Y235" s="168"/>
      <c r="Z235" s="168"/>
      <c r="AA235" s="169"/>
      <c r="AB235" s="213" t="str">
        <f>T235</f>
        <v>Yes/No</v>
      </c>
      <c r="AD235" s="171"/>
      <c r="AE235" s="240" t="s">
        <v>235</v>
      </c>
      <c r="AF235" s="240" t="s">
        <v>235</v>
      </c>
      <c r="AG235" s="240" t="s">
        <v>235</v>
      </c>
      <c r="AI235" s="214">
        <f>IF(VLOOKUP(E235,'Pre-Assessment Estimator'!$E$11:$AB$226,'Pre-Assessment Estimator'!$G$2,FALSE)&gt;AB235,AB235,VLOOKUP(E235,'Pre-Assessment Estimator'!$E$11:$AB$226,'Pre-Assessment Estimator'!$G$2,FALSE))</f>
        <v>0</v>
      </c>
      <c r="AJ235" s="172">
        <f>IF(VLOOKUP(E235,'Pre-Assessment Estimator'!$E$11:$AB$226,'Pre-Assessment Estimator'!$N$2,FALSE)&gt;AB235,AB235,VLOOKUP(E235,'Pre-Assessment Estimator'!$E$11:$AB$226,'Pre-Assessment Estimator'!$N$2,FALSE))</f>
        <v>0</v>
      </c>
      <c r="AK235" s="172">
        <f>IF(VLOOKUP(E235,'Pre-Assessment Estimator'!$E$11:$AB$226,'Pre-Assessment Estimator'!$U$2,FALSE)&gt;AB235,AB235,VLOOKUP(E235,'Pre-Assessment Estimator'!$E$11:$AB$226,'Pre-Assessment Estimator'!$U$2,FALSE))</f>
        <v>0</v>
      </c>
      <c r="AM235" s="215" t="s">
        <v>12</v>
      </c>
      <c r="AN235" s="216" t="s">
        <v>12</v>
      </c>
      <c r="AO235" s="216" t="s">
        <v>12</v>
      </c>
      <c r="AP235" s="216" t="s">
        <v>12</v>
      </c>
      <c r="AQ235" s="217" t="s">
        <v>12</v>
      </c>
      <c r="AS235" s="215" t="s">
        <v>12</v>
      </c>
      <c r="AT235" s="216" t="s">
        <v>12</v>
      </c>
      <c r="AU235" s="216" t="s">
        <v>12</v>
      </c>
      <c r="AV235" s="216" t="s">
        <v>12</v>
      </c>
      <c r="AW235" s="217" t="s">
        <v>12</v>
      </c>
      <c r="AY235" s="174" t="str">
        <f t="shared" ref="AY235" si="611">IF($E$6=$H$9,AS235,AM235)</f>
        <v>Yes</v>
      </c>
      <c r="AZ235" s="175" t="str">
        <f t="shared" ref="AZ235" si="612">IF($E$6=$H$9,AT235,AN235)</f>
        <v>Yes</v>
      </c>
      <c r="BA235" s="175" t="str">
        <f t="shared" ref="BA235" si="613">IF($E$6=$H$9,AU235,AO235)</f>
        <v>Yes</v>
      </c>
      <c r="BB235" s="175" t="str">
        <f t="shared" ref="BB235" si="614">IF($E$6=$H$9,AV235,AP235)</f>
        <v>Yes</v>
      </c>
      <c r="BC235" s="1118" t="str">
        <f t="shared" ref="BC235" si="615">IF($E$6=$H$9,AW235,AQ235)</f>
        <v>Yes</v>
      </c>
      <c r="BD235" s="182">
        <f>IF(AI235="Yes",5,0)</f>
        <v>0</v>
      </c>
      <c r="BE235" s="164" t="str">
        <f t="shared" si="603"/>
        <v>Unclassified</v>
      </c>
      <c r="BF235" s="178"/>
      <c r="BG235" s="182">
        <f t="shared" ref="BG235" si="616">IF(AJ235="Yes",5,0)</f>
        <v>0</v>
      </c>
      <c r="BH235" s="164" t="str">
        <f t="shared" si="605"/>
        <v>Unclassified</v>
      </c>
      <c r="BI235" s="178"/>
      <c r="BJ235" s="182">
        <f t="shared" ref="BJ235" si="617">IF(AK235="Yes",5,0)</f>
        <v>0</v>
      </c>
      <c r="BK235" s="164" t="str">
        <f t="shared" si="607"/>
        <v>Unclassified</v>
      </c>
      <c r="BL235" s="178"/>
      <c r="BO235" s="167"/>
      <c r="BP235" s="167"/>
      <c r="BQ235" s="167"/>
      <c r="BR235" s="167">
        <f t="shared" ref="BR235" si="618">IF(BQ235="",9,(IF(AI235=AD_Yes,5,0)))</f>
        <v>9</v>
      </c>
      <c r="BS235" s="167">
        <f t="shared" ref="BS235" si="619">IF(BQ235="",9,(IF(AJ235=AD_Yes,5,0)))</f>
        <v>9</v>
      </c>
      <c r="BT235" s="167">
        <f t="shared" ref="BT235" si="620">IF(BQ235="",9,(IF(AK235=AD_Yes,5,0)))</f>
        <v>9</v>
      </c>
      <c r="BW235" s="167"/>
      <c r="BX235" s="167"/>
      <c r="BY235" s="167"/>
      <c r="BZ235" s="167"/>
      <c r="CA235" s="167"/>
      <c r="CB235" s="167"/>
    </row>
    <row r="236" spans="1:81" x14ac:dyDescent="0.25">
      <c r="A236" s="96">
        <v>228</v>
      </c>
      <c r="B236" s="96" t="s">
        <v>733</v>
      </c>
      <c r="C236" s="96" t="s">
        <v>118</v>
      </c>
      <c r="D236" s="1111" t="s">
        <v>733</v>
      </c>
      <c r="E236" s="1112" t="s">
        <v>1075</v>
      </c>
      <c r="F236" s="1113" t="s">
        <v>234</v>
      </c>
      <c r="G236" s="1113" t="s">
        <v>234</v>
      </c>
      <c r="H236" s="1113" t="s">
        <v>234</v>
      </c>
      <c r="I236" s="1113" t="s">
        <v>234</v>
      </c>
      <c r="J236" s="1113" t="s">
        <v>234</v>
      </c>
      <c r="K236" s="1113" t="s">
        <v>234</v>
      </c>
      <c r="L236" s="1113" t="s">
        <v>234</v>
      </c>
      <c r="M236" s="1113" t="s">
        <v>234</v>
      </c>
      <c r="N236" s="1113" t="s">
        <v>234</v>
      </c>
      <c r="O236" s="1113" t="s">
        <v>234</v>
      </c>
      <c r="P236" s="1113" t="s">
        <v>234</v>
      </c>
      <c r="Q236" s="1114" t="s">
        <v>234</v>
      </c>
      <c r="R236" s="1114" t="s">
        <v>234</v>
      </c>
      <c r="T236" s="212" t="str">
        <f t="shared" si="596"/>
        <v>Yes/No</v>
      </c>
      <c r="U236" s="169"/>
      <c r="V236" s="239"/>
      <c r="W236" s="167"/>
      <c r="X236" s="167"/>
      <c r="Y236" s="168"/>
      <c r="Z236" s="168"/>
      <c r="AA236" s="169"/>
      <c r="AB236" s="1023" t="str">
        <f>IF(Hea02_credits=0,0,T236)</f>
        <v>Yes/No</v>
      </c>
      <c r="AD236" s="171"/>
      <c r="AE236" s="240" t="s">
        <v>235</v>
      </c>
      <c r="AF236" s="240" t="s">
        <v>235</v>
      </c>
      <c r="AG236" s="240" t="s">
        <v>235</v>
      </c>
      <c r="AI236" s="214">
        <f>IF(VLOOKUP(E236,'Pre-Assessment Estimator'!$E$11:$AB$226,'Pre-Assessment Estimator'!$G$2,FALSE)&gt;AB236,AB236,VLOOKUP(E236,'Pre-Assessment Estimator'!$E$11:$AB$226,'Pre-Assessment Estimator'!$G$2,FALSE))</f>
        <v>0</v>
      </c>
      <c r="AJ236" s="172">
        <f>IF(VLOOKUP(E236,'Pre-Assessment Estimator'!$E$11:$AB$226,'Pre-Assessment Estimator'!$N$2,FALSE)&gt;AB236,AB236,VLOOKUP(E236,'Pre-Assessment Estimator'!$E$11:$AB$226,'Pre-Assessment Estimator'!$N$2,FALSE))</f>
        <v>0</v>
      </c>
      <c r="AK236" s="172">
        <f>IF(VLOOKUP(E236,'Pre-Assessment Estimator'!$E$11:$AB$226,'Pre-Assessment Estimator'!$U$2,FALSE)&gt;AB236,AB236,VLOOKUP(E236,'Pre-Assessment Estimator'!$E$11:$AB$226,'Pre-Assessment Estimator'!$U$2,FALSE))</f>
        <v>0</v>
      </c>
      <c r="AM236" s="312" t="s">
        <v>12</v>
      </c>
      <c r="AN236" s="179" t="s">
        <v>12</v>
      </c>
      <c r="AO236" s="179" t="s">
        <v>12</v>
      </c>
      <c r="AP236" s="179" t="s">
        <v>12</v>
      </c>
      <c r="AQ236" s="180" t="s">
        <v>12</v>
      </c>
      <c r="AS236" s="1115" t="s">
        <v>12</v>
      </c>
      <c r="AT236" s="1116" t="s">
        <v>12</v>
      </c>
      <c r="AU236" s="1116" t="s">
        <v>12</v>
      </c>
      <c r="AV236" s="1116" t="s">
        <v>12</v>
      </c>
      <c r="AW236" s="1117" t="s">
        <v>12</v>
      </c>
      <c r="AY236" s="828" t="str">
        <f t="shared" ref="AY236:BB237" si="621">IF($E$6=$H$9,AS236,AM236)</f>
        <v>Yes</v>
      </c>
      <c r="AZ236" s="829" t="str">
        <f t="shared" si="621"/>
        <v>Yes</v>
      </c>
      <c r="BA236" s="829" t="str">
        <f t="shared" si="621"/>
        <v>Yes</v>
      </c>
      <c r="BB236" s="829" t="str">
        <f t="shared" si="621"/>
        <v>Yes</v>
      </c>
      <c r="BC236" s="848" t="str">
        <f t="shared" ref="BC236:BC248" si="622">IF($E$6=$H$9,AW236,AQ236)</f>
        <v>Yes</v>
      </c>
      <c r="BD236" s="182">
        <f>IF(Hea02_credits=0,9,IF(AND(AI236="Yes"),5,0))</f>
        <v>0</v>
      </c>
      <c r="BE236" s="164" t="str">
        <f t="shared" si="603"/>
        <v>Unclassified</v>
      </c>
      <c r="BF236" s="830"/>
      <c r="BG236" s="182">
        <f>IF(Hea02_credits=0,9,IF(AND(AJ236="Yes"),5,0))</f>
        <v>0</v>
      </c>
      <c r="BH236" s="164" t="str">
        <f t="shared" si="605"/>
        <v>Unclassified</v>
      </c>
      <c r="BI236" s="830"/>
      <c r="BJ236" s="182">
        <f>IF(Hea02_credits=0,9,IF(AND(AK236="Yes"),5,0))</f>
        <v>0</v>
      </c>
      <c r="BK236" s="164" t="str">
        <f t="shared" si="607"/>
        <v>Unclassified</v>
      </c>
      <c r="BL236" s="830"/>
      <c r="BO236" s="167"/>
      <c r="BP236" s="167"/>
      <c r="BQ236" s="167" t="str">
        <f t="shared" si="554"/>
        <v/>
      </c>
      <c r="BR236" s="167">
        <f t="shared" si="608"/>
        <v>9</v>
      </c>
      <c r="BS236" s="167">
        <f t="shared" si="609"/>
        <v>9</v>
      </c>
      <c r="BT236" s="167">
        <f t="shared" si="610"/>
        <v>9</v>
      </c>
      <c r="BW236" s="164"/>
      <c r="BX236" s="164"/>
      <c r="BY236" s="164">
        <f>IFERROR(VLOOKUP($E236,'Pre-Assessment Estimator'!$E$11:$AI$226,'Pre-Assessment Estimator'!AI$2,FALSE),"")</f>
        <v>0</v>
      </c>
      <c r="BZ236" s="164" t="str">
        <f>IFERROR(VLOOKUP($BX236,$E$293:$H$326,F$291,FALSE),"")</f>
        <v/>
      </c>
      <c r="CA236" s="164" t="str">
        <f>IFERROR(VLOOKUP($BX236,$E$293:$H$326,G$291,FALSE),"")</f>
        <v/>
      </c>
      <c r="CB236" s="164"/>
      <c r="CC236" s="96" t="str">
        <f>IFERROR(VLOOKUP($BX236,$E$293:$H$326,I$291,FALSE),"")</f>
        <v/>
      </c>
    </row>
    <row r="237" spans="1:81" ht="15.75" thickBot="1" x14ac:dyDescent="0.3">
      <c r="A237" s="96">
        <v>229</v>
      </c>
      <c r="B237" s="96" t="s">
        <v>740</v>
      </c>
      <c r="C237" s="96" t="s">
        <v>121</v>
      </c>
      <c r="D237" s="222" t="s">
        <v>740</v>
      </c>
      <c r="E237" s="977" t="s">
        <v>615</v>
      </c>
      <c r="F237" s="769" t="s">
        <v>234</v>
      </c>
      <c r="G237" s="769" t="s">
        <v>234</v>
      </c>
      <c r="H237" s="769" t="s">
        <v>234</v>
      </c>
      <c r="I237" s="769" t="s">
        <v>234</v>
      </c>
      <c r="J237" s="769" t="s">
        <v>234</v>
      </c>
      <c r="K237" s="769" t="s">
        <v>234</v>
      </c>
      <c r="L237" s="769" t="s">
        <v>234</v>
      </c>
      <c r="M237" s="769" t="s">
        <v>234</v>
      </c>
      <c r="N237" s="769" t="s">
        <v>234</v>
      </c>
      <c r="O237" s="769" t="s">
        <v>234</v>
      </c>
      <c r="P237" s="769" t="s">
        <v>234</v>
      </c>
      <c r="Q237" s="770" t="s">
        <v>234</v>
      </c>
      <c r="R237" s="770" t="s">
        <v>234</v>
      </c>
      <c r="T237" s="221" t="str">
        <f t="shared" si="596"/>
        <v>Yes/No</v>
      </c>
      <c r="U237" s="241"/>
      <c r="V237" s="239"/>
      <c r="W237" s="167"/>
      <c r="X237" s="167"/>
      <c r="Y237" s="168"/>
      <c r="Z237" s="168"/>
      <c r="AA237" s="169"/>
      <c r="AB237" s="213" t="str">
        <f t="shared" si="597"/>
        <v>Yes/No</v>
      </c>
      <c r="AD237" s="171"/>
      <c r="AE237" s="240" t="s">
        <v>235</v>
      </c>
      <c r="AF237" s="240" t="s">
        <v>235</v>
      </c>
      <c r="AG237" s="240" t="s">
        <v>235</v>
      </c>
      <c r="AI237" s="214">
        <f>IF(VLOOKUP(E237,'Pre-Assessment Estimator'!$E$11:$AB$226,'Pre-Assessment Estimator'!$G$2,FALSE)&gt;AB237,AB237,VLOOKUP(E237,'Pre-Assessment Estimator'!$E$11:$AB$226,'Pre-Assessment Estimator'!$G$2,FALSE))</f>
        <v>0</v>
      </c>
      <c r="AJ237" s="172">
        <f>IF(VLOOKUP(E237,'Pre-Assessment Estimator'!$E$11:$AB$226,'Pre-Assessment Estimator'!$N$2,FALSE)&gt;AB237,AB237,VLOOKUP(E237,'Pre-Assessment Estimator'!$E$11:$AB$226,'Pre-Assessment Estimator'!$N$2,FALSE))</f>
        <v>0</v>
      </c>
      <c r="AK237" s="172">
        <f>IF(VLOOKUP(E237,'Pre-Assessment Estimator'!$E$11:$AB$226,'Pre-Assessment Estimator'!$U$2,FALSE)&gt;AB237,AB237,VLOOKUP(E237,'Pre-Assessment Estimator'!$E$11:$AB$226,'Pre-Assessment Estimator'!$U$2,FALSE))</f>
        <v>0</v>
      </c>
      <c r="AM237" s="312"/>
      <c r="AN237" s="179"/>
      <c r="AO237" s="179"/>
      <c r="AP237" s="179"/>
      <c r="AQ237" s="180"/>
      <c r="AS237" s="312"/>
      <c r="AT237" s="179"/>
      <c r="AU237" s="179"/>
      <c r="AV237" s="179"/>
      <c r="AW237" s="180"/>
      <c r="AY237" s="182">
        <f t="shared" si="621"/>
        <v>0</v>
      </c>
      <c r="AZ237" s="183">
        <f t="shared" si="621"/>
        <v>0</v>
      </c>
      <c r="BA237" s="183">
        <f t="shared" si="621"/>
        <v>0</v>
      </c>
      <c r="BB237" s="183">
        <f t="shared" si="621"/>
        <v>0</v>
      </c>
      <c r="BC237" s="187">
        <f t="shared" si="622"/>
        <v>0</v>
      </c>
      <c r="BD237" s="1122">
        <v>9</v>
      </c>
      <c r="BE237" s="164" t="str">
        <f t="shared" si="603"/>
        <v>N/A</v>
      </c>
      <c r="BF237" s="185"/>
      <c r="BG237" s="1122">
        <v>9</v>
      </c>
      <c r="BH237" s="164" t="str">
        <f t="shared" si="605"/>
        <v>N/A</v>
      </c>
      <c r="BI237" s="185"/>
      <c r="BJ237" s="1122">
        <v>9</v>
      </c>
      <c r="BK237" s="164" t="str">
        <f t="shared" si="607"/>
        <v>N/A</v>
      </c>
      <c r="BL237" s="185"/>
      <c r="BO237" s="167"/>
      <c r="BP237" s="167"/>
      <c r="BQ237" s="167" t="str">
        <f t="shared" si="554"/>
        <v/>
      </c>
      <c r="BR237" s="167">
        <f t="shared" si="608"/>
        <v>9</v>
      </c>
      <c r="BS237" s="167">
        <f t="shared" si="609"/>
        <v>9</v>
      </c>
      <c r="BT237" s="167">
        <f t="shared" si="610"/>
        <v>9</v>
      </c>
      <c r="BW237" s="167"/>
      <c r="BX237" s="167"/>
      <c r="BY237" s="167">
        <f>IFERROR(VLOOKUP($E237,'Pre-Assessment Estimator'!$E$11:$AI$226,'Pre-Assessment Estimator'!AI$2,FALSE),"")</f>
        <v>0</v>
      </c>
      <c r="BZ237" s="167" t="str">
        <f>IFERROR(VLOOKUP($BX237,$E$293:$H$326,F$291,FALSE),"")</f>
        <v/>
      </c>
      <c r="CA237" s="167" t="str">
        <f>IFERROR(VLOOKUP($BX237,$E$293:$H$326,G$291,FALSE),"")</f>
        <v/>
      </c>
      <c r="CB237" s="167"/>
      <c r="CC237" s="96" t="str">
        <f>IFERROR(VLOOKUP($BX237,$E$293:$H$326,I$291,FALSE),"")</f>
        <v/>
      </c>
    </row>
    <row r="238" spans="1:81" ht="15.75" thickBot="1" x14ac:dyDescent="0.3">
      <c r="A238" s="96">
        <v>230</v>
      </c>
      <c r="B238" s="96" t="s">
        <v>770</v>
      </c>
      <c r="C238" s="96" t="s">
        <v>173</v>
      </c>
      <c r="D238" s="728" t="s">
        <v>770</v>
      </c>
      <c r="E238" s="971" t="s">
        <v>646</v>
      </c>
      <c r="F238" s="771" t="s">
        <v>234</v>
      </c>
      <c r="G238" s="771" t="s">
        <v>234</v>
      </c>
      <c r="H238" s="771" t="s">
        <v>234</v>
      </c>
      <c r="I238" s="771" t="s">
        <v>234</v>
      </c>
      <c r="J238" s="771" t="s">
        <v>234</v>
      </c>
      <c r="K238" s="771" t="s">
        <v>234</v>
      </c>
      <c r="L238" s="771" t="s">
        <v>234</v>
      </c>
      <c r="M238" s="771" t="s">
        <v>234</v>
      </c>
      <c r="N238" s="771" t="s">
        <v>234</v>
      </c>
      <c r="O238" s="771" t="s">
        <v>234</v>
      </c>
      <c r="P238" s="771" t="s">
        <v>234</v>
      </c>
      <c r="Q238" s="772" t="s">
        <v>234</v>
      </c>
      <c r="R238" s="772" t="s">
        <v>234</v>
      </c>
      <c r="T238" s="221" t="str">
        <f t="shared" si="596"/>
        <v>Yes/No</v>
      </c>
      <c r="U238" s="241"/>
      <c r="V238" s="239"/>
      <c r="W238" s="167"/>
      <c r="X238" s="167"/>
      <c r="Y238" s="168"/>
      <c r="Z238" s="168"/>
      <c r="AA238" s="169"/>
      <c r="AB238" s="213" t="str">
        <f t="shared" si="597"/>
        <v>Yes/No</v>
      </c>
      <c r="AD238" s="171"/>
      <c r="AE238" s="240" t="s">
        <v>235</v>
      </c>
      <c r="AF238" s="240" t="s">
        <v>235</v>
      </c>
      <c r="AG238" s="240" t="s">
        <v>235</v>
      </c>
      <c r="AI238" s="214">
        <f>IF(VLOOKUP(E238,'Pre-Assessment Estimator'!$E$11:$AB$226,'Pre-Assessment Estimator'!$G$2,FALSE)&gt;AB238,AB238,VLOOKUP(E238,'Pre-Assessment Estimator'!$E$11:$AB$226,'Pre-Assessment Estimator'!$G$2,FALSE))</f>
        <v>0</v>
      </c>
      <c r="AJ238" s="172">
        <f>IF(VLOOKUP(E238,'Pre-Assessment Estimator'!$E$11:$AB$226,'Pre-Assessment Estimator'!$N$2,FALSE)&gt;AB238,AB238,VLOOKUP(E238,'Pre-Assessment Estimator'!$E$11:$AB$226,'Pre-Assessment Estimator'!$N$2,FALSE))</f>
        <v>0</v>
      </c>
      <c r="AK238" s="172">
        <f>IF(VLOOKUP(E238,'Pre-Assessment Estimator'!$E$11:$AB$226,'Pre-Assessment Estimator'!$U$2,FALSE)&gt;AB238,AB238,VLOOKUP(E238,'Pre-Assessment Estimator'!$E$11:$AB$226,'Pre-Assessment Estimator'!$U$2,FALSE))</f>
        <v>0</v>
      </c>
      <c r="AM238" s="968" t="s">
        <v>12</v>
      </c>
      <c r="AN238" s="969" t="s">
        <v>12</v>
      </c>
      <c r="AO238" s="969" t="s">
        <v>12</v>
      </c>
      <c r="AP238" s="969" t="s">
        <v>12</v>
      </c>
      <c r="AQ238" s="970" t="s">
        <v>12</v>
      </c>
      <c r="AR238" s="130"/>
      <c r="AS238" s="968" t="s">
        <v>12</v>
      </c>
      <c r="AT238" s="969" t="s">
        <v>12</v>
      </c>
      <c r="AU238" s="969" t="s">
        <v>12</v>
      </c>
      <c r="AV238" s="969" t="s">
        <v>12</v>
      </c>
      <c r="AW238" s="970" t="s">
        <v>12</v>
      </c>
      <c r="AY238" s="182" t="str">
        <f t="shared" ref="AY238" si="623">IF($E$6=$H$9,AS238,AM238)</f>
        <v>Yes</v>
      </c>
      <c r="AZ238" s="183" t="str">
        <f t="shared" ref="AZ238" si="624">IF($E$6=$H$9,AT238,AN238)</f>
        <v>Yes</v>
      </c>
      <c r="BA238" s="183" t="str">
        <f t="shared" ref="BA238" si="625">IF($E$6=$H$9,AU238,AO238)</f>
        <v>Yes</v>
      </c>
      <c r="BB238" s="183" t="str">
        <f t="shared" ref="BB238" si="626">IF($E$6=$H$9,AV238,AP238)</f>
        <v>Yes</v>
      </c>
      <c r="BC238" s="187" t="str">
        <f t="shared" si="622"/>
        <v>Yes</v>
      </c>
      <c r="BD238" s="182">
        <f t="shared" ref="BD238:BD240" si="627">IF(AI238="Yes",5,0)</f>
        <v>0</v>
      </c>
      <c r="BE238" s="164" t="str">
        <f t="shared" si="603"/>
        <v>Unclassified</v>
      </c>
      <c r="BF238" s="185"/>
      <c r="BG238" s="182">
        <f t="shared" ref="BG238:BG240" si="628">IF(AJ238="Yes",5,0)</f>
        <v>0</v>
      </c>
      <c r="BH238" s="164" t="str">
        <f t="shared" si="605"/>
        <v>Unclassified</v>
      </c>
      <c r="BI238" s="185"/>
      <c r="BJ238" s="182">
        <f t="shared" ref="BJ238:BJ240" si="629">IF(AK238="Yes",5,0)</f>
        <v>0</v>
      </c>
      <c r="BK238" s="164" t="str">
        <f t="shared" si="607"/>
        <v>Unclassified</v>
      </c>
      <c r="BL238" s="185"/>
      <c r="BO238" s="167"/>
      <c r="BP238" s="167"/>
      <c r="BQ238" s="167" t="str">
        <f t="shared" si="554"/>
        <v/>
      </c>
      <c r="BR238" s="167">
        <f t="shared" si="608"/>
        <v>9</v>
      </c>
      <c r="BS238" s="167">
        <f t="shared" si="609"/>
        <v>9</v>
      </c>
      <c r="BT238" s="167">
        <f t="shared" si="610"/>
        <v>9</v>
      </c>
      <c r="BW238" s="193"/>
      <c r="BX238" s="193"/>
      <c r="BY238" s="193"/>
      <c r="BZ238" s="193"/>
      <c r="CA238" s="193"/>
      <c r="CB238" s="193"/>
    </row>
    <row r="239" spans="1:81" ht="15.75" thickBot="1" x14ac:dyDescent="0.3">
      <c r="A239" s="96">
        <v>231</v>
      </c>
      <c r="B239" s="96" t="s">
        <v>773</v>
      </c>
      <c r="C239" s="96" t="s">
        <v>478</v>
      </c>
      <c r="D239" s="728" t="s">
        <v>773</v>
      </c>
      <c r="E239" s="1252" t="s">
        <v>1044</v>
      </c>
      <c r="F239" s="771" t="s">
        <v>234</v>
      </c>
      <c r="G239" s="771" t="s">
        <v>234</v>
      </c>
      <c r="H239" s="771" t="s">
        <v>234</v>
      </c>
      <c r="I239" s="771" t="s">
        <v>234</v>
      </c>
      <c r="J239" s="771" t="s">
        <v>234</v>
      </c>
      <c r="K239" s="771" t="s">
        <v>234</v>
      </c>
      <c r="L239" s="771" t="s">
        <v>234</v>
      </c>
      <c r="M239" s="771" t="s">
        <v>234</v>
      </c>
      <c r="N239" s="771" t="s">
        <v>234</v>
      </c>
      <c r="O239" s="771" t="s">
        <v>234</v>
      </c>
      <c r="P239" s="771" t="s">
        <v>234</v>
      </c>
      <c r="Q239" s="772" t="s">
        <v>234</v>
      </c>
      <c r="R239" s="772" t="s">
        <v>234</v>
      </c>
      <c r="T239" s="221" t="str">
        <f t="shared" si="596"/>
        <v>Yes/No</v>
      </c>
      <c r="U239" s="241"/>
      <c r="V239" s="239"/>
      <c r="W239" s="167"/>
      <c r="X239" s="167"/>
      <c r="Y239" s="168"/>
      <c r="Z239" s="168"/>
      <c r="AA239" s="169"/>
      <c r="AB239" s="213" t="str">
        <f t="shared" si="597"/>
        <v>Yes/No</v>
      </c>
      <c r="AD239" s="171"/>
      <c r="AE239" s="240" t="s">
        <v>235</v>
      </c>
      <c r="AF239" s="240" t="s">
        <v>235</v>
      </c>
      <c r="AG239" s="240" t="s">
        <v>235</v>
      </c>
      <c r="AI239" s="214">
        <f>IF(VLOOKUP(E239,'Pre-Assessment Estimator'!$E$11:$AB$226,'Pre-Assessment Estimator'!$G$2,FALSE)&gt;AB239,AB239,VLOOKUP(E239,'Pre-Assessment Estimator'!$E$11:$AB$226,'Pre-Assessment Estimator'!$G$2,FALSE))</f>
        <v>0</v>
      </c>
      <c r="AJ239" s="172">
        <f>IF(VLOOKUP(E239,'Pre-Assessment Estimator'!$E$11:$AB$226,'Pre-Assessment Estimator'!$N$2,FALSE)&gt;AB239,AB239,VLOOKUP(E239,'Pre-Assessment Estimator'!$E$11:$AB$226,'Pre-Assessment Estimator'!$N$2,FALSE))</f>
        <v>0</v>
      </c>
      <c r="AK239" s="172">
        <f>IF(VLOOKUP(E239,'Pre-Assessment Estimator'!$E$11:$AB$226,'Pre-Assessment Estimator'!$U$2,FALSE)&gt;AB239,AB239,VLOOKUP(E239,'Pre-Assessment Estimator'!$E$11:$AB$226,'Pre-Assessment Estimator'!$U$2,FALSE))</f>
        <v>0</v>
      </c>
      <c r="AM239" s="965" t="s">
        <v>12</v>
      </c>
      <c r="AN239" s="966" t="s">
        <v>12</v>
      </c>
      <c r="AO239" s="966" t="s">
        <v>12</v>
      </c>
      <c r="AP239" s="966" t="s">
        <v>12</v>
      </c>
      <c r="AQ239" s="967" t="s">
        <v>12</v>
      </c>
      <c r="AR239" s="137"/>
      <c r="AS239" s="965" t="s">
        <v>12</v>
      </c>
      <c r="AT239" s="966" t="s">
        <v>12</v>
      </c>
      <c r="AU239" s="966" t="s">
        <v>12</v>
      </c>
      <c r="AV239" s="966" t="s">
        <v>12</v>
      </c>
      <c r="AW239" s="967" t="s">
        <v>12</v>
      </c>
      <c r="AY239" s="182" t="str">
        <f t="shared" ref="AY239:AY244" si="630">IF($E$6=$H$9,AS239,AM239)</f>
        <v>Yes</v>
      </c>
      <c r="AZ239" s="183" t="str">
        <f t="shared" ref="AZ239:AZ244" si="631">IF($E$6=$H$9,AT239,AN239)</f>
        <v>Yes</v>
      </c>
      <c r="BA239" s="183" t="str">
        <f t="shared" ref="BA239:BA244" si="632">IF($E$6=$H$9,AU239,AO239)</f>
        <v>Yes</v>
      </c>
      <c r="BB239" s="183" t="str">
        <f t="shared" ref="BB239:BB244" si="633">IF($E$6=$H$9,AV239,AP239)</f>
        <v>Yes</v>
      </c>
      <c r="BC239" s="187" t="str">
        <f t="shared" si="622"/>
        <v>Yes</v>
      </c>
      <c r="BD239" s="182">
        <f t="shared" si="627"/>
        <v>0</v>
      </c>
      <c r="BE239" s="164" t="str">
        <f t="shared" si="603"/>
        <v>Unclassified</v>
      </c>
      <c r="BF239" s="185"/>
      <c r="BG239" s="182">
        <f t="shared" si="628"/>
        <v>0</v>
      </c>
      <c r="BH239" s="164" t="str">
        <f t="shared" si="605"/>
        <v>Unclassified</v>
      </c>
      <c r="BI239" s="185"/>
      <c r="BJ239" s="182">
        <f t="shared" si="629"/>
        <v>0</v>
      </c>
      <c r="BK239" s="164" t="str">
        <f t="shared" si="607"/>
        <v>Unclassified</v>
      </c>
      <c r="BL239" s="185"/>
      <c r="BO239" s="167"/>
      <c r="BP239" s="167" t="s">
        <v>12</v>
      </c>
      <c r="BQ239" s="167" t="str">
        <f t="shared" si="554"/>
        <v>Yes</v>
      </c>
      <c r="BR239" s="167">
        <f t="shared" si="608"/>
        <v>0</v>
      </c>
      <c r="BS239" s="167">
        <f t="shared" si="609"/>
        <v>0</v>
      </c>
      <c r="BT239" s="167">
        <f t="shared" si="610"/>
        <v>0</v>
      </c>
      <c r="BW239" s="193"/>
      <c r="BX239" s="193"/>
      <c r="BY239" s="193"/>
      <c r="BZ239" s="193"/>
      <c r="CA239" s="193"/>
      <c r="CB239" s="193"/>
    </row>
    <row r="240" spans="1:81" ht="15.75" thickBot="1" x14ac:dyDescent="0.3">
      <c r="A240" s="96">
        <v>232</v>
      </c>
      <c r="B240" s="96" t="s">
        <v>776</v>
      </c>
      <c r="C240" s="96" t="s">
        <v>174</v>
      </c>
      <c r="D240" s="728" t="s">
        <v>776</v>
      </c>
      <c r="E240" s="972" t="s">
        <v>982</v>
      </c>
      <c r="F240" s="771" t="s">
        <v>234</v>
      </c>
      <c r="G240" s="771" t="s">
        <v>234</v>
      </c>
      <c r="H240" s="771" t="s">
        <v>234</v>
      </c>
      <c r="I240" s="771" t="s">
        <v>234</v>
      </c>
      <c r="J240" s="771" t="s">
        <v>234</v>
      </c>
      <c r="K240" s="771" t="s">
        <v>234</v>
      </c>
      <c r="L240" s="771" t="s">
        <v>234</v>
      </c>
      <c r="M240" s="771" t="s">
        <v>234</v>
      </c>
      <c r="N240" s="771" t="s">
        <v>234</v>
      </c>
      <c r="O240" s="771" t="s">
        <v>234</v>
      </c>
      <c r="P240" s="771" t="s">
        <v>234</v>
      </c>
      <c r="Q240" s="772" t="s">
        <v>234</v>
      </c>
      <c r="R240" s="772" t="s">
        <v>234</v>
      </c>
      <c r="T240" s="221" t="str">
        <f t="shared" si="596"/>
        <v>Yes/No</v>
      </c>
      <c r="U240" s="241"/>
      <c r="V240" s="239"/>
      <c r="W240" s="167"/>
      <c r="X240" s="167"/>
      <c r="Y240" s="168"/>
      <c r="Z240" s="168"/>
      <c r="AA240" s="169"/>
      <c r="AB240" s="213" t="str">
        <f t="shared" si="597"/>
        <v>Yes/No</v>
      </c>
      <c r="AD240" s="171"/>
      <c r="AE240" s="240" t="s">
        <v>235</v>
      </c>
      <c r="AF240" s="240" t="s">
        <v>235</v>
      </c>
      <c r="AG240" s="240" t="s">
        <v>235</v>
      </c>
      <c r="AI240" s="214">
        <f>IF(VLOOKUP(E240,'Pre-Assessment Estimator'!$E$11:$AB$226,'Pre-Assessment Estimator'!$G$2,FALSE)&gt;AB240,AB240,VLOOKUP(E240,'Pre-Assessment Estimator'!$E$11:$AB$226,'Pre-Assessment Estimator'!$G$2,FALSE))</f>
        <v>0</v>
      </c>
      <c r="AJ240" s="172">
        <f>IF(VLOOKUP(E240,'Pre-Assessment Estimator'!$E$11:$AB$226,'Pre-Assessment Estimator'!$N$2,FALSE)&gt;AB240,AB240,VLOOKUP(E240,'Pre-Assessment Estimator'!$E$11:$AB$226,'Pre-Assessment Estimator'!$N$2,FALSE))</f>
        <v>0</v>
      </c>
      <c r="AK240" s="172">
        <f>IF(VLOOKUP(E240,'Pre-Assessment Estimator'!$E$11:$AB$226,'Pre-Assessment Estimator'!$U$2,FALSE)&gt;AB240,AB240,VLOOKUP(E240,'Pre-Assessment Estimator'!$E$11:$AB$226,'Pre-Assessment Estimator'!$U$2,FALSE))</f>
        <v>0</v>
      </c>
      <c r="AM240" s="965" t="s">
        <v>12</v>
      </c>
      <c r="AN240" s="966" t="s">
        <v>12</v>
      </c>
      <c r="AO240" s="966" t="s">
        <v>12</v>
      </c>
      <c r="AP240" s="966" t="s">
        <v>12</v>
      </c>
      <c r="AQ240" s="967" t="s">
        <v>12</v>
      </c>
      <c r="AR240" s="137"/>
      <c r="AS240" s="965" t="s">
        <v>12</v>
      </c>
      <c r="AT240" s="966" t="s">
        <v>12</v>
      </c>
      <c r="AU240" s="966" t="s">
        <v>12</v>
      </c>
      <c r="AV240" s="966" t="s">
        <v>12</v>
      </c>
      <c r="AW240" s="967" t="s">
        <v>12</v>
      </c>
      <c r="AY240" s="182" t="str">
        <f t="shared" si="630"/>
        <v>Yes</v>
      </c>
      <c r="AZ240" s="183" t="str">
        <f t="shared" si="631"/>
        <v>Yes</v>
      </c>
      <c r="BA240" s="183" t="str">
        <f t="shared" si="632"/>
        <v>Yes</v>
      </c>
      <c r="BB240" s="183" t="str">
        <f t="shared" si="633"/>
        <v>Yes</v>
      </c>
      <c r="BC240" s="187" t="str">
        <f t="shared" si="622"/>
        <v>Yes</v>
      </c>
      <c r="BD240" s="182">
        <f t="shared" si="627"/>
        <v>0</v>
      </c>
      <c r="BE240" s="164" t="str">
        <f t="shared" si="603"/>
        <v>Unclassified</v>
      </c>
      <c r="BF240" s="185"/>
      <c r="BG240" s="182">
        <f t="shared" si="628"/>
        <v>0</v>
      </c>
      <c r="BH240" s="164" t="str">
        <f t="shared" si="605"/>
        <v>Unclassified</v>
      </c>
      <c r="BI240" s="185"/>
      <c r="BJ240" s="182">
        <f t="shared" si="629"/>
        <v>0</v>
      </c>
      <c r="BK240" s="164" t="str">
        <f t="shared" si="607"/>
        <v>Unclassified</v>
      </c>
      <c r="BL240" s="185"/>
      <c r="BO240" s="167"/>
      <c r="BP240" s="167"/>
      <c r="BQ240" s="167" t="str">
        <f t="shared" si="554"/>
        <v/>
      </c>
      <c r="BR240" s="167">
        <f t="shared" si="608"/>
        <v>9</v>
      </c>
      <c r="BS240" s="167">
        <f t="shared" si="609"/>
        <v>9</v>
      </c>
      <c r="BT240" s="167">
        <f t="shared" si="610"/>
        <v>9</v>
      </c>
      <c r="BW240" s="193"/>
      <c r="BX240" s="193"/>
      <c r="BY240" s="193"/>
      <c r="BZ240" s="193"/>
      <c r="CA240" s="193"/>
      <c r="CB240" s="193"/>
    </row>
    <row r="241" spans="1:81" ht="15.75" thickBot="1" x14ac:dyDescent="0.3">
      <c r="A241" s="96">
        <v>233</v>
      </c>
      <c r="B241" s="96" t="s">
        <v>779</v>
      </c>
      <c r="C241" s="96" t="s">
        <v>175</v>
      </c>
      <c r="D241" s="728" t="s">
        <v>779</v>
      </c>
      <c r="E241" s="972" t="s">
        <v>655</v>
      </c>
      <c r="F241" s="771" t="s">
        <v>234</v>
      </c>
      <c r="G241" s="771" t="s">
        <v>234</v>
      </c>
      <c r="H241" s="771" t="s">
        <v>234</v>
      </c>
      <c r="I241" s="771" t="s">
        <v>234</v>
      </c>
      <c r="J241" s="771" t="s">
        <v>234</v>
      </c>
      <c r="K241" s="771" t="s">
        <v>234</v>
      </c>
      <c r="L241" s="771" t="s">
        <v>234</v>
      </c>
      <c r="M241" s="771" t="s">
        <v>234</v>
      </c>
      <c r="N241" s="771" t="s">
        <v>234</v>
      </c>
      <c r="O241" s="771" t="s">
        <v>234</v>
      </c>
      <c r="P241" s="771" t="s">
        <v>234</v>
      </c>
      <c r="Q241" s="772" t="s">
        <v>234</v>
      </c>
      <c r="R241" s="772" t="s">
        <v>234</v>
      </c>
      <c r="T241" s="221" t="str">
        <f t="shared" si="596"/>
        <v>Yes/No</v>
      </c>
      <c r="U241" s="241"/>
      <c r="V241" s="239"/>
      <c r="W241" s="167"/>
      <c r="X241" s="167"/>
      <c r="Y241" s="168"/>
      <c r="Z241" s="168"/>
      <c r="AA241" s="169"/>
      <c r="AB241" s="213" t="str">
        <f t="shared" si="597"/>
        <v>Yes/No</v>
      </c>
      <c r="AD241" s="171"/>
      <c r="AE241" s="240" t="s">
        <v>235</v>
      </c>
      <c r="AF241" s="240" t="s">
        <v>235</v>
      </c>
      <c r="AG241" s="240" t="s">
        <v>235</v>
      </c>
      <c r="AI241" s="214">
        <f>IF(VLOOKUP(E241,'Pre-Assessment Estimator'!$E$11:$AB$226,'Pre-Assessment Estimator'!$G$2,FALSE)&gt;AB241,AB241,VLOOKUP(E241,'Pre-Assessment Estimator'!$E$11:$AB$226,'Pre-Assessment Estimator'!$G$2,FALSE))</f>
        <v>0</v>
      </c>
      <c r="AJ241" s="172">
        <f>IF(VLOOKUP(E241,'Pre-Assessment Estimator'!$E$11:$AB$226,'Pre-Assessment Estimator'!$N$2,FALSE)&gt;AB241,AB241,VLOOKUP(E241,'Pre-Assessment Estimator'!$E$11:$AB$226,'Pre-Assessment Estimator'!$N$2,FALSE))</f>
        <v>0</v>
      </c>
      <c r="AK241" s="172">
        <f>IF(VLOOKUP(E241,'Pre-Assessment Estimator'!$E$11:$AB$226,'Pre-Assessment Estimator'!$U$2,FALSE)&gt;AB241,AB241,VLOOKUP(E241,'Pre-Assessment Estimator'!$E$11:$AB$226,'Pre-Assessment Estimator'!$U$2,FALSE))</f>
        <v>0</v>
      </c>
      <c r="AM241" s="729"/>
      <c r="AN241" s="232"/>
      <c r="AO241" s="232"/>
      <c r="AP241" s="232"/>
      <c r="AQ241" s="233"/>
      <c r="AS241" s="729"/>
      <c r="AT241" s="232"/>
      <c r="AU241" s="232"/>
      <c r="AV241" s="232"/>
      <c r="AW241" s="233"/>
      <c r="AY241" s="182">
        <f t="shared" ref="AY241" si="634">IF($E$6=$H$9,AS241,AM241)</f>
        <v>0</v>
      </c>
      <c r="AZ241" s="183">
        <f t="shared" ref="AZ241" si="635">IF($E$6=$H$9,AT241,AN241)</f>
        <v>0</v>
      </c>
      <c r="BA241" s="183">
        <f t="shared" ref="BA241" si="636">IF($E$6=$H$9,AU241,AO241)</f>
        <v>0</v>
      </c>
      <c r="BB241" s="183">
        <f t="shared" ref="BB241" si="637">IF($E$6=$H$9,AV241,AP241)</f>
        <v>0</v>
      </c>
      <c r="BC241" s="187">
        <f t="shared" ref="BC241" si="638">IF($E$6=$H$9,AW241,AQ241)</f>
        <v>0</v>
      </c>
      <c r="BD241" s="1122">
        <v>9</v>
      </c>
      <c r="BE241" s="164" t="str">
        <f t="shared" si="603"/>
        <v>N/A</v>
      </c>
      <c r="BF241" s="185"/>
      <c r="BG241" s="1122">
        <v>9</v>
      </c>
      <c r="BH241" s="164" t="str">
        <f t="shared" si="605"/>
        <v>N/A</v>
      </c>
      <c r="BI241" s="185"/>
      <c r="BJ241" s="1122">
        <v>9</v>
      </c>
      <c r="BK241" s="164" t="str">
        <f t="shared" si="607"/>
        <v>N/A</v>
      </c>
      <c r="BL241" s="185"/>
      <c r="BO241" s="167"/>
      <c r="BP241" s="167"/>
      <c r="BQ241" s="167" t="str">
        <f t="shared" si="554"/>
        <v/>
      </c>
      <c r="BR241" s="167">
        <f t="shared" si="608"/>
        <v>9</v>
      </c>
      <c r="BS241" s="167">
        <f t="shared" si="609"/>
        <v>9</v>
      </c>
      <c r="BT241" s="167">
        <f t="shared" si="610"/>
        <v>9</v>
      </c>
      <c r="BW241" s="193"/>
      <c r="BX241" s="193"/>
      <c r="BY241" s="193"/>
      <c r="BZ241" s="193"/>
      <c r="CA241" s="193"/>
      <c r="CB241" s="193"/>
    </row>
    <row r="242" spans="1:81" ht="15.75" thickBot="1" x14ac:dyDescent="0.3">
      <c r="A242" s="96">
        <v>234</v>
      </c>
      <c r="B242" s="96" t="s">
        <v>798</v>
      </c>
      <c r="C242" s="96" t="s">
        <v>181</v>
      </c>
      <c r="D242" s="728" t="s">
        <v>798</v>
      </c>
      <c r="E242" s="972" t="s">
        <v>1018</v>
      </c>
      <c r="F242" s="771" t="s">
        <v>234</v>
      </c>
      <c r="G242" s="771" t="s">
        <v>234</v>
      </c>
      <c r="H242" s="771" t="s">
        <v>234</v>
      </c>
      <c r="I242" s="771" t="s">
        <v>234</v>
      </c>
      <c r="J242" s="771" t="s">
        <v>234</v>
      </c>
      <c r="K242" s="771" t="s">
        <v>234</v>
      </c>
      <c r="L242" s="771" t="s">
        <v>234</v>
      </c>
      <c r="M242" s="771" t="s">
        <v>234</v>
      </c>
      <c r="N242" s="771" t="s">
        <v>234</v>
      </c>
      <c r="O242" s="771" t="s">
        <v>234</v>
      </c>
      <c r="P242" s="771" t="s">
        <v>234</v>
      </c>
      <c r="Q242" s="772" t="s">
        <v>234</v>
      </c>
      <c r="R242" s="772" t="s">
        <v>234</v>
      </c>
      <c r="T242" s="221" t="str">
        <f t="shared" si="596"/>
        <v>Yes/No</v>
      </c>
      <c r="U242" s="241"/>
      <c r="V242" s="239"/>
      <c r="W242" s="167"/>
      <c r="X242" s="167"/>
      <c r="Y242" s="168"/>
      <c r="Z242" s="168"/>
      <c r="AA242" s="169"/>
      <c r="AB242" s="213" t="str">
        <f t="shared" si="597"/>
        <v>Yes/No</v>
      </c>
      <c r="AD242" s="171"/>
      <c r="AE242" s="240" t="s">
        <v>235</v>
      </c>
      <c r="AF242" s="240" t="s">
        <v>235</v>
      </c>
      <c r="AG242" s="240" t="s">
        <v>235</v>
      </c>
      <c r="AI242" s="214">
        <f>IF(VLOOKUP(E242,'Pre-Assessment Estimator'!$E$11:$AB$226,'Pre-Assessment Estimator'!$G$2,FALSE)&gt;AB242,AB242,VLOOKUP(E242,'Pre-Assessment Estimator'!$E$11:$AB$226,'Pre-Assessment Estimator'!$G$2,FALSE))</f>
        <v>0</v>
      </c>
      <c r="AJ242" s="172">
        <f>IF(VLOOKUP(E242,'Pre-Assessment Estimator'!$E$11:$AB$226,'Pre-Assessment Estimator'!$N$2,FALSE)&gt;AB242,AB242,VLOOKUP(E242,'Pre-Assessment Estimator'!$E$11:$AB$226,'Pre-Assessment Estimator'!$N$2,FALSE))</f>
        <v>0</v>
      </c>
      <c r="AK242" s="172">
        <f>IF(VLOOKUP(E242,'Pre-Assessment Estimator'!$E$11:$AB$226,'Pre-Assessment Estimator'!$U$2,FALSE)&gt;AB242,AB242,VLOOKUP(E242,'Pre-Assessment Estimator'!$E$11:$AB$226,'Pre-Assessment Estimator'!$U$2,FALSE))</f>
        <v>0</v>
      </c>
      <c r="AM242" s="729"/>
      <c r="AN242" s="232"/>
      <c r="AO242" s="232"/>
      <c r="AP242" s="232"/>
      <c r="AQ242" s="233"/>
      <c r="AS242" s="729"/>
      <c r="AT242" s="232"/>
      <c r="AU242" s="232"/>
      <c r="AV242" s="232"/>
      <c r="AW242" s="233"/>
      <c r="AY242" s="182">
        <f t="shared" si="630"/>
        <v>0</v>
      </c>
      <c r="AZ242" s="183">
        <f t="shared" si="631"/>
        <v>0</v>
      </c>
      <c r="BA242" s="183">
        <f t="shared" si="632"/>
        <v>0</v>
      </c>
      <c r="BB242" s="183">
        <f t="shared" si="633"/>
        <v>0</v>
      </c>
      <c r="BC242" s="187">
        <f t="shared" si="622"/>
        <v>0</v>
      </c>
      <c r="BD242" s="1122">
        <v>9</v>
      </c>
      <c r="BE242" s="164" t="str">
        <f t="shared" si="603"/>
        <v>N/A</v>
      </c>
      <c r="BF242" s="185"/>
      <c r="BG242" s="1122">
        <v>9</v>
      </c>
      <c r="BH242" s="164" t="str">
        <f t="shared" si="605"/>
        <v>N/A</v>
      </c>
      <c r="BI242" s="185"/>
      <c r="BJ242" s="1122">
        <v>9</v>
      </c>
      <c r="BK242" s="164" t="str">
        <f t="shared" si="607"/>
        <v>N/A</v>
      </c>
      <c r="BL242" s="185"/>
      <c r="BO242" s="167"/>
      <c r="BP242" s="167"/>
      <c r="BQ242" s="167"/>
      <c r="BR242" s="167">
        <f t="shared" si="608"/>
        <v>9</v>
      </c>
      <c r="BS242" s="167">
        <f t="shared" si="609"/>
        <v>9</v>
      </c>
      <c r="BT242" s="167">
        <f t="shared" si="610"/>
        <v>9</v>
      </c>
      <c r="BW242" s="193"/>
      <c r="BX242" s="193"/>
      <c r="BY242" s="193"/>
      <c r="BZ242" s="193"/>
      <c r="CA242" s="193"/>
      <c r="CB242" s="193"/>
    </row>
    <row r="243" spans="1:81" ht="15.75" thickBot="1" x14ac:dyDescent="0.3">
      <c r="A243" s="96">
        <v>235</v>
      </c>
      <c r="B243" s="96" t="s">
        <v>801</v>
      </c>
      <c r="C243" s="96" t="s">
        <v>480</v>
      </c>
      <c r="D243" s="728" t="s">
        <v>801</v>
      </c>
      <c r="E243" s="972" t="s">
        <v>675</v>
      </c>
      <c r="F243" s="771" t="s">
        <v>234</v>
      </c>
      <c r="G243" s="771" t="s">
        <v>234</v>
      </c>
      <c r="H243" s="771" t="s">
        <v>234</v>
      </c>
      <c r="I243" s="771" t="s">
        <v>234</v>
      </c>
      <c r="J243" s="771" t="s">
        <v>234</v>
      </c>
      <c r="K243" s="771" t="s">
        <v>234</v>
      </c>
      <c r="L243" s="771" t="s">
        <v>234</v>
      </c>
      <c r="M243" s="771" t="s">
        <v>234</v>
      </c>
      <c r="N243" s="771" t="s">
        <v>234</v>
      </c>
      <c r="O243" s="771" t="s">
        <v>234</v>
      </c>
      <c r="P243" s="771" t="s">
        <v>234</v>
      </c>
      <c r="Q243" s="772" t="s">
        <v>234</v>
      </c>
      <c r="R243" s="772" t="s">
        <v>234</v>
      </c>
      <c r="T243" s="221" t="str">
        <f t="shared" si="596"/>
        <v>Yes/No</v>
      </c>
      <c r="U243" s="241"/>
      <c r="V243" s="239"/>
      <c r="W243" s="167"/>
      <c r="X243" s="167"/>
      <c r="Y243" s="168"/>
      <c r="Z243" s="168"/>
      <c r="AA243" s="169"/>
      <c r="AB243" s="213" t="str">
        <f t="shared" si="597"/>
        <v>Yes/No</v>
      </c>
      <c r="AD243" s="171"/>
      <c r="AE243" s="240" t="s">
        <v>235</v>
      </c>
      <c r="AF243" s="240" t="s">
        <v>235</v>
      </c>
      <c r="AG243" s="240" t="s">
        <v>235</v>
      </c>
      <c r="AI243" s="214" t="str">
        <f>IF(AI173+AI174=LE02_credits,AD_Yes,AD_no)</f>
        <v>No</v>
      </c>
      <c r="AJ243" s="172" t="str">
        <f>IF(AJ173+AJ174=LE02_credits,AD_Yes,AD_no)</f>
        <v>No</v>
      </c>
      <c r="AK243" s="172" t="str">
        <f>IF(AK173+AK174=LE02_credits,AD_Yes,AD_no)</f>
        <v>No</v>
      </c>
      <c r="AM243" s="729"/>
      <c r="AN243" s="232"/>
      <c r="AO243" s="232"/>
      <c r="AP243" s="232"/>
      <c r="AQ243" s="233"/>
      <c r="AS243" s="729"/>
      <c r="AT243" s="232"/>
      <c r="AU243" s="232"/>
      <c r="AV243" s="232"/>
      <c r="AW243" s="233"/>
      <c r="AY243" s="182">
        <f t="shared" si="630"/>
        <v>0</v>
      </c>
      <c r="AZ243" s="183">
        <f t="shared" si="631"/>
        <v>0</v>
      </c>
      <c r="BA243" s="183">
        <f t="shared" si="632"/>
        <v>0</v>
      </c>
      <c r="BB243" s="183">
        <f t="shared" si="633"/>
        <v>0</v>
      </c>
      <c r="BC243" s="187">
        <f t="shared" si="622"/>
        <v>0</v>
      </c>
      <c r="BD243" s="1122">
        <v>9</v>
      </c>
      <c r="BE243" s="164" t="str">
        <f t="shared" si="603"/>
        <v>N/A</v>
      </c>
      <c r="BF243" s="185"/>
      <c r="BG243" s="1122">
        <v>9</v>
      </c>
      <c r="BH243" s="164" t="str">
        <f t="shared" si="605"/>
        <v>N/A</v>
      </c>
      <c r="BI243" s="185"/>
      <c r="BJ243" s="1122">
        <v>9</v>
      </c>
      <c r="BK243" s="164" t="str">
        <f t="shared" si="607"/>
        <v>N/A</v>
      </c>
      <c r="BL243" s="185"/>
      <c r="BO243" s="167"/>
      <c r="BP243" s="167"/>
      <c r="BQ243" s="167" t="str">
        <f t="shared" si="554"/>
        <v/>
      </c>
      <c r="BR243" s="167">
        <f t="shared" si="608"/>
        <v>9</v>
      </c>
      <c r="BS243" s="167">
        <f t="shared" si="609"/>
        <v>9</v>
      </c>
      <c r="BT243" s="167">
        <f t="shared" si="610"/>
        <v>9</v>
      </c>
      <c r="BW243" s="193"/>
      <c r="BX243" s="193"/>
      <c r="BY243" s="193"/>
      <c r="BZ243" s="193"/>
      <c r="CA243" s="193"/>
      <c r="CB243" s="193"/>
    </row>
    <row r="244" spans="1:81" ht="15.75" thickBot="1" x14ac:dyDescent="0.3">
      <c r="A244" s="96">
        <v>236</v>
      </c>
      <c r="B244" s="96" t="s">
        <v>804</v>
      </c>
      <c r="C244" s="96" t="s">
        <v>182</v>
      </c>
      <c r="D244" s="728" t="s">
        <v>804</v>
      </c>
      <c r="E244" s="972" t="s">
        <v>983</v>
      </c>
      <c r="F244" s="771" t="s">
        <v>234</v>
      </c>
      <c r="G244" s="771" t="s">
        <v>234</v>
      </c>
      <c r="H244" s="771" t="s">
        <v>234</v>
      </c>
      <c r="I244" s="771" t="s">
        <v>234</v>
      </c>
      <c r="J244" s="771" t="s">
        <v>234</v>
      </c>
      <c r="K244" s="771" t="s">
        <v>234</v>
      </c>
      <c r="L244" s="771" t="s">
        <v>234</v>
      </c>
      <c r="M244" s="771" t="s">
        <v>234</v>
      </c>
      <c r="N244" s="771" t="s">
        <v>234</v>
      </c>
      <c r="O244" s="771" t="s">
        <v>234</v>
      </c>
      <c r="P244" s="771" t="s">
        <v>234</v>
      </c>
      <c r="Q244" s="772" t="s">
        <v>234</v>
      </c>
      <c r="R244" s="772" t="s">
        <v>234</v>
      </c>
      <c r="T244" s="221" t="str">
        <f t="shared" si="596"/>
        <v>Yes/No</v>
      </c>
      <c r="U244" s="241"/>
      <c r="V244" s="239"/>
      <c r="W244" s="167"/>
      <c r="X244" s="167"/>
      <c r="Y244" s="168"/>
      <c r="Z244" s="168"/>
      <c r="AA244" s="169"/>
      <c r="AB244" s="213" t="str">
        <f t="shared" si="597"/>
        <v>Yes/No</v>
      </c>
      <c r="AD244" s="171"/>
      <c r="AE244" s="240" t="s">
        <v>235</v>
      </c>
      <c r="AF244" s="240" t="s">
        <v>235</v>
      </c>
      <c r="AG244" s="240" t="s">
        <v>235</v>
      </c>
      <c r="AI244" s="214">
        <f>IF(VLOOKUP(E244,'Pre-Assessment Estimator'!$E$11:$AB$226,'Pre-Assessment Estimator'!$G$2,FALSE)&gt;AB244,AB244,VLOOKUP(E244,'Pre-Assessment Estimator'!$E$11:$AB$226,'Pre-Assessment Estimator'!$G$2,FALSE))</f>
        <v>0</v>
      </c>
      <c r="AJ244" s="172">
        <f>IF(VLOOKUP(E244,'Pre-Assessment Estimator'!$E$11:$AB$226,'Pre-Assessment Estimator'!$N$2,FALSE)&gt;AB244,AB244,VLOOKUP(E244,'Pre-Assessment Estimator'!$E$11:$AB$226,'Pre-Assessment Estimator'!$N$2,FALSE))</f>
        <v>0</v>
      </c>
      <c r="AK244" s="172">
        <f>IF(VLOOKUP(E244,'Pre-Assessment Estimator'!$E$11:$AB$226,'Pre-Assessment Estimator'!$U$2,FALSE)&gt;AB244,AB244,VLOOKUP(E244,'Pre-Assessment Estimator'!$E$11:$AB$226,'Pre-Assessment Estimator'!$U$2,FALSE))</f>
        <v>0</v>
      </c>
      <c r="AM244" s="729"/>
      <c r="AN244" s="232"/>
      <c r="AO244" s="232"/>
      <c r="AP244" s="232"/>
      <c r="AQ244" s="233"/>
      <c r="AS244" s="729"/>
      <c r="AT244" s="232"/>
      <c r="AU244" s="232"/>
      <c r="AV244" s="232"/>
      <c r="AW244" s="233"/>
      <c r="AY244" s="182">
        <f t="shared" si="630"/>
        <v>0</v>
      </c>
      <c r="AZ244" s="183">
        <f t="shared" si="631"/>
        <v>0</v>
      </c>
      <c r="BA244" s="183">
        <f t="shared" si="632"/>
        <v>0</v>
      </c>
      <c r="BB244" s="183">
        <f t="shared" si="633"/>
        <v>0</v>
      </c>
      <c r="BC244" s="187">
        <f t="shared" si="622"/>
        <v>0</v>
      </c>
      <c r="BD244" s="1122">
        <v>9</v>
      </c>
      <c r="BE244" s="164" t="str">
        <f t="shared" si="603"/>
        <v>N/A</v>
      </c>
      <c r="BF244" s="185"/>
      <c r="BG244" s="1122">
        <v>9</v>
      </c>
      <c r="BH244" s="164" t="str">
        <f t="shared" si="605"/>
        <v>N/A</v>
      </c>
      <c r="BI244" s="185"/>
      <c r="BJ244" s="1122">
        <v>9</v>
      </c>
      <c r="BK244" s="164" t="str">
        <f t="shared" si="607"/>
        <v>N/A</v>
      </c>
      <c r="BL244" s="185"/>
      <c r="BO244" s="167"/>
      <c r="BP244" s="167"/>
      <c r="BQ244" s="167" t="str">
        <f t="shared" si="554"/>
        <v/>
      </c>
      <c r="BR244" s="167">
        <f t="shared" si="608"/>
        <v>9</v>
      </c>
      <c r="BS244" s="167">
        <f t="shared" si="609"/>
        <v>9</v>
      </c>
      <c r="BT244" s="167">
        <f t="shared" si="610"/>
        <v>9</v>
      </c>
      <c r="BW244" s="193"/>
      <c r="BX244" s="193"/>
      <c r="BY244" s="193"/>
      <c r="BZ244" s="193"/>
      <c r="CA244" s="193"/>
      <c r="CB244" s="193"/>
    </row>
    <row r="245" spans="1:81" ht="15.75" thickBot="1" x14ac:dyDescent="0.3">
      <c r="A245" s="96">
        <v>237</v>
      </c>
      <c r="B245" s="96" t="s">
        <v>807</v>
      </c>
      <c r="C245" s="96" t="s">
        <v>183</v>
      </c>
      <c r="D245" s="728" t="s">
        <v>807</v>
      </c>
      <c r="E245" s="972" t="s">
        <v>681</v>
      </c>
      <c r="F245" s="771" t="s">
        <v>234</v>
      </c>
      <c r="G245" s="771" t="s">
        <v>234</v>
      </c>
      <c r="H245" s="771" t="s">
        <v>234</v>
      </c>
      <c r="I245" s="771" t="s">
        <v>234</v>
      </c>
      <c r="J245" s="771" t="s">
        <v>234</v>
      </c>
      <c r="K245" s="771" t="s">
        <v>234</v>
      </c>
      <c r="L245" s="771" t="s">
        <v>234</v>
      </c>
      <c r="M245" s="771" t="s">
        <v>234</v>
      </c>
      <c r="N245" s="771" t="s">
        <v>234</v>
      </c>
      <c r="O245" s="771" t="s">
        <v>234</v>
      </c>
      <c r="P245" s="771" t="s">
        <v>234</v>
      </c>
      <c r="Q245" s="772" t="s">
        <v>234</v>
      </c>
      <c r="R245" s="772" t="s">
        <v>234</v>
      </c>
      <c r="T245" s="221" t="str">
        <f t="shared" si="596"/>
        <v>Yes/No</v>
      </c>
      <c r="U245" s="241"/>
      <c r="V245" s="239"/>
      <c r="W245" s="167"/>
      <c r="X245" s="167"/>
      <c r="Y245" s="168"/>
      <c r="Z245" s="168"/>
      <c r="AA245" s="169"/>
      <c r="AB245" s="213" t="str">
        <f t="shared" si="597"/>
        <v>Yes/No</v>
      </c>
      <c r="AD245" s="171"/>
      <c r="AE245" s="240" t="s">
        <v>235</v>
      </c>
      <c r="AF245" s="240" t="s">
        <v>235</v>
      </c>
      <c r="AG245" s="240" t="s">
        <v>235</v>
      </c>
      <c r="AI245" s="214">
        <f>IF(VLOOKUP(E245,'Pre-Assessment Estimator'!$E$11:$AB$226,'Pre-Assessment Estimator'!$G$2,FALSE)&gt;AB245,AB245,VLOOKUP(E245,'Pre-Assessment Estimator'!$E$11:$AB$226,'Pre-Assessment Estimator'!$G$2,FALSE))</f>
        <v>0</v>
      </c>
      <c r="AJ245" s="172">
        <f>IF(VLOOKUP(E245,'Pre-Assessment Estimator'!$E$11:$AB$226,'Pre-Assessment Estimator'!$N$2,FALSE)&gt;AB245,AB245,VLOOKUP(E245,'Pre-Assessment Estimator'!$E$11:$AB$226,'Pre-Assessment Estimator'!$N$2,FALSE))</f>
        <v>0</v>
      </c>
      <c r="AK245" s="172">
        <f>IF(VLOOKUP(E245,'Pre-Assessment Estimator'!$E$11:$AB$226,'Pre-Assessment Estimator'!$U$2,FALSE)&gt;AB245,AB245,VLOOKUP(E245,'Pre-Assessment Estimator'!$E$11:$AB$226,'Pre-Assessment Estimator'!$U$2,FALSE))</f>
        <v>0</v>
      </c>
      <c r="AM245" s="729"/>
      <c r="AN245" s="232"/>
      <c r="AO245" s="232"/>
      <c r="AP245" s="232"/>
      <c r="AQ245" s="233"/>
      <c r="AS245" s="729"/>
      <c r="AT245" s="232"/>
      <c r="AU245" s="232"/>
      <c r="AV245" s="232"/>
      <c r="AW245" s="233"/>
      <c r="AY245" s="182">
        <f t="shared" ref="AY245:AY248" si="639">IF($E$6=$H$9,AS245,AM245)</f>
        <v>0</v>
      </c>
      <c r="AZ245" s="183">
        <f t="shared" ref="AZ245:AZ248" si="640">IF($E$6=$H$9,AT245,AN245)</f>
        <v>0</v>
      </c>
      <c r="BA245" s="183">
        <f t="shared" ref="BA245:BA248" si="641">IF($E$6=$H$9,AU245,AO245)</f>
        <v>0</v>
      </c>
      <c r="BB245" s="183">
        <f t="shared" ref="BB245:BB248" si="642">IF($E$6=$H$9,AV245,AP245)</f>
        <v>0</v>
      </c>
      <c r="BC245" s="187">
        <f t="shared" si="622"/>
        <v>0</v>
      </c>
      <c r="BD245" s="1122">
        <v>9</v>
      </c>
      <c r="BE245" s="164" t="str">
        <f t="shared" si="603"/>
        <v>N/A</v>
      </c>
      <c r="BF245" s="185"/>
      <c r="BG245" s="1122">
        <v>9</v>
      </c>
      <c r="BH245" s="164" t="str">
        <f t="shared" si="605"/>
        <v>N/A</v>
      </c>
      <c r="BI245" s="185"/>
      <c r="BJ245" s="1122">
        <v>9</v>
      </c>
      <c r="BK245" s="164" t="str">
        <f t="shared" si="607"/>
        <v>N/A</v>
      </c>
      <c r="BL245" s="185"/>
      <c r="BO245" s="167"/>
      <c r="BP245" s="167"/>
      <c r="BQ245" s="167" t="str">
        <f t="shared" si="554"/>
        <v/>
      </c>
      <c r="BR245" s="167">
        <f t="shared" si="608"/>
        <v>9</v>
      </c>
      <c r="BS245" s="167">
        <f t="shared" si="609"/>
        <v>9</v>
      </c>
      <c r="BT245" s="167">
        <f t="shared" si="610"/>
        <v>9</v>
      </c>
      <c r="BW245" s="193"/>
      <c r="BX245" s="193"/>
      <c r="BY245" s="193"/>
      <c r="BZ245" s="193"/>
      <c r="CA245" s="193"/>
      <c r="CB245" s="193"/>
    </row>
    <row r="246" spans="1:81" ht="15.75" thickBot="1" x14ac:dyDescent="0.3">
      <c r="A246" s="96">
        <v>238</v>
      </c>
      <c r="B246" s="96" t="s">
        <v>762</v>
      </c>
      <c r="C246" s="96" t="s">
        <v>148</v>
      </c>
      <c r="D246" s="728" t="s">
        <v>762</v>
      </c>
      <c r="E246" s="972" t="s">
        <v>986</v>
      </c>
      <c r="F246" s="771" t="s">
        <v>234</v>
      </c>
      <c r="G246" s="771" t="s">
        <v>234</v>
      </c>
      <c r="H246" s="771" t="s">
        <v>234</v>
      </c>
      <c r="I246" s="771" t="s">
        <v>234</v>
      </c>
      <c r="J246" s="771" t="s">
        <v>234</v>
      </c>
      <c r="K246" s="771" t="s">
        <v>234</v>
      </c>
      <c r="L246" s="771" t="s">
        <v>234</v>
      </c>
      <c r="M246" s="771" t="s">
        <v>234</v>
      </c>
      <c r="N246" s="771" t="s">
        <v>234</v>
      </c>
      <c r="O246" s="771" t="s">
        <v>234</v>
      </c>
      <c r="P246" s="771" t="s">
        <v>234</v>
      </c>
      <c r="Q246" s="772" t="s">
        <v>234</v>
      </c>
      <c r="R246" s="772" t="s">
        <v>234</v>
      </c>
      <c r="T246" s="221" t="str">
        <f t="shared" si="596"/>
        <v>Yes/No</v>
      </c>
      <c r="U246" s="241"/>
      <c r="V246" s="239"/>
      <c r="W246" s="167"/>
      <c r="X246" s="167"/>
      <c r="Y246" s="168"/>
      <c r="Z246" s="168"/>
      <c r="AA246" s="169"/>
      <c r="AB246" s="213" t="str">
        <f t="shared" si="597"/>
        <v>Yes/No</v>
      </c>
      <c r="AD246" s="171"/>
      <c r="AE246" s="240" t="s">
        <v>235</v>
      </c>
      <c r="AF246" s="240" t="s">
        <v>235</v>
      </c>
      <c r="AG246" s="240" t="s">
        <v>235</v>
      </c>
      <c r="AI246" s="214">
        <f>IF(VLOOKUP(E246,'Pre-Assessment Estimator'!$E$11:$AB$226,'Pre-Assessment Estimator'!$G$2,FALSE)&gt;AB246,AB246,VLOOKUP(E246,'Pre-Assessment Estimator'!$E$11:$AB$226,'Pre-Assessment Estimator'!$G$2,FALSE))</f>
        <v>0</v>
      </c>
      <c r="AJ246" s="172">
        <f>IF(VLOOKUP(E246,'Pre-Assessment Estimator'!$E$11:$AB$226,'Pre-Assessment Estimator'!$N$2,FALSE)&gt;AB246,AB246,VLOOKUP(E246,'Pre-Assessment Estimator'!$E$11:$AB$226,'Pre-Assessment Estimator'!$N$2,FALSE))</f>
        <v>0</v>
      </c>
      <c r="AK246" s="172">
        <f>IF(VLOOKUP(E246,'Pre-Assessment Estimator'!$E$11:$AB$226,'Pre-Assessment Estimator'!$U$2,FALSE)&gt;AB246,AB246,VLOOKUP(E246,'Pre-Assessment Estimator'!$E$11:$AB$226,'Pre-Assessment Estimator'!$U$2,FALSE))</f>
        <v>0</v>
      </c>
      <c r="AM246" s="729"/>
      <c r="AN246" s="232"/>
      <c r="AO246" s="232"/>
      <c r="AP246" s="232"/>
      <c r="AQ246" s="233"/>
      <c r="AS246" s="729"/>
      <c r="AT246" s="232"/>
      <c r="AU246" s="232"/>
      <c r="AV246" s="232"/>
      <c r="AW246" s="233"/>
      <c r="AY246" s="182">
        <f t="shared" ref="AY246" si="643">IF($E$6=$H$9,AS246,AM246)</f>
        <v>0</v>
      </c>
      <c r="AZ246" s="183">
        <f t="shared" ref="AZ246" si="644">IF($E$6=$H$9,AT246,AN246)</f>
        <v>0</v>
      </c>
      <c r="BA246" s="183">
        <f t="shared" ref="BA246" si="645">IF($E$6=$H$9,AU246,AO246)</f>
        <v>0</v>
      </c>
      <c r="BB246" s="183">
        <f t="shared" ref="BB246" si="646">IF($E$6=$H$9,AV246,AP246)</f>
        <v>0</v>
      </c>
      <c r="BC246" s="187">
        <f t="shared" ref="BC246" si="647">IF($E$6=$H$9,AW246,AQ246)</f>
        <v>0</v>
      </c>
      <c r="BD246" s="1122">
        <v>9</v>
      </c>
      <c r="BE246" s="164" t="str">
        <f t="shared" si="603"/>
        <v>N/A</v>
      </c>
      <c r="BF246" s="185"/>
      <c r="BG246" s="1122">
        <v>9</v>
      </c>
      <c r="BH246" s="164" t="str">
        <f t="shared" si="605"/>
        <v>N/A</v>
      </c>
      <c r="BI246" s="185"/>
      <c r="BJ246" s="1122">
        <v>9</v>
      </c>
      <c r="BK246" s="164" t="str">
        <f t="shared" si="607"/>
        <v>N/A</v>
      </c>
      <c r="BL246" s="185"/>
      <c r="BO246" s="167"/>
      <c r="BP246" s="167"/>
      <c r="BQ246" s="167" t="str">
        <f t="shared" si="554"/>
        <v/>
      </c>
      <c r="BR246" s="167">
        <f t="shared" si="608"/>
        <v>9</v>
      </c>
      <c r="BS246" s="167">
        <f t="shared" si="609"/>
        <v>9</v>
      </c>
      <c r="BT246" s="167">
        <f t="shared" si="610"/>
        <v>9</v>
      </c>
      <c r="BW246" s="193"/>
      <c r="BX246" s="193"/>
      <c r="BY246" s="193"/>
      <c r="BZ246" s="193"/>
      <c r="CA246" s="193"/>
      <c r="CB246" s="193"/>
    </row>
    <row r="247" spans="1:81" ht="15.75" thickBot="1" x14ac:dyDescent="0.3">
      <c r="A247" s="96">
        <v>239</v>
      </c>
      <c r="B247" s="96" t="s">
        <v>811</v>
      </c>
      <c r="C247" s="96" t="s">
        <v>481</v>
      </c>
      <c r="D247" s="731" t="s">
        <v>811</v>
      </c>
      <c r="E247" s="972" t="s">
        <v>984</v>
      </c>
      <c r="F247" s="771" t="s">
        <v>234</v>
      </c>
      <c r="G247" s="771" t="s">
        <v>234</v>
      </c>
      <c r="H247" s="771" t="s">
        <v>234</v>
      </c>
      <c r="I247" s="771" t="s">
        <v>234</v>
      </c>
      <c r="J247" s="771" t="s">
        <v>234</v>
      </c>
      <c r="K247" s="771" t="s">
        <v>234</v>
      </c>
      <c r="L247" s="771" t="s">
        <v>234</v>
      </c>
      <c r="M247" s="771" t="s">
        <v>234</v>
      </c>
      <c r="N247" s="771" t="s">
        <v>234</v>
      </c>
      <c r="O247" s="771" t="s">
        <v>234</v>
      </c>
      <c r="P247" s="771" t="s">
        <v>234</v>
      </c>
      <c r="Q247" s="772" t="s">
        <v>234</v>
      </c>
      <c r="R247" s="772" t="s">
        <v>234</v>
      </c>
      <c r="T247" s="221" t="str">
        <f t="shared" si="596"/>
        <v>Yes/No</v>
      </c>
      <c r="U247" s="241"/>
      <c r="V247" s="239"/>
      <c r="W247" s="167"/>
      <c r="X247" s="167"/>
      <c r="Y247" s="168"/>
      <c r="Z247" s="168"/>
      <c r="AA247" s="169"/>
      <c r="AB247" s="213" t="str">
        <f t="shared" si="597"/>
        <v>Yes/No</v>
      </c>
      <c r="AD247" s="171"/>
      <c r="AE247" s="240" t="s">
        <v>235</v>
      </c>
      <c r="AF247" s="240" t="s">
        <v>235</v>
      </c>
      <c r="AG247" s="240" t="s">
        <v>235</v>
      </c>
      <c r="AI247" s="214">
        <f>IF(VLOOKUP(E247,'Pre-Assessment Estimator'!$E$11:$AB$226,'Pre-Assessment Estimator'!$G$2,FALSE)&gt;AB247,AB247,VLOOKUP(E247,'Pre-Assessment Estimator'!$E$11:$AB$226,'Pre-Assessment Estimator'!$G$2,FALSE))</f>
        <v>0</v>
      </c>
      <c r="AJ247" s="172">
        <f>IF(VLOOKUP(E247,'Pre-Assessment Estimator'!$E$11:$AB$226,'Pre-Assessment Estimator'!$N$2,FALSE)&gt;AB247,AB247,VLOOKUP(E247,'Pre-Assessment Estimator'!$E$11:$AB$226,'Pre-Assessment Estimator'!$N$2,FALSE))</f>
        <v>0</v>
      </c>
      <c r="AK247" s="172">
        <f>IF(VLOOKUP(E247,'Pre-Assessment Estimator'!$E$11:$AB$226,'Pre-Assessment Estimator'!$U$2,FALSE)&gt;AB247,AB247,VLOOKUP(E247,'Pre-Assessment Estimator'!$E$11:$AB$226,'Pre-Assessment Estimator'!$U$2,FALSE))</f>
        <v>0</v>
      </c>
      <c r="AM247" s="729"/>
      <c r="AN247" s="232"/>
      <c r="AO247" s="232"/>
      <c r="AP247" s="232"/>
      <c r="AQ247" s="233"/>
      <c r="AS247" s="729"/>
      <c r="AT247" s="232"/>
      <c r="AU247" s="232"/>
      <c r="AV247" s="232"/>
      <c r="AW247" s="233"/>
      <c r="AY247" s="182">
        <f t="shared" si="639"/>
        <v>0</v>
      </c>
      <c r="AZ247" s="183">
        <f t="shared" si="640"/>
        <v>0</v>
      </c>
      <c r="BA247" s="183">
        <f t="shared" si="641"/>
        <v>0</v>
      </c>
      <c r="BB247" s="183">
        <f t="shared" si="642"/>
        <v>0</v>
      </c>
      <c r="BC247" s="187">
        <f t="shared" si="622"/>
        <v>0</v>
      </c>
      <c r="BD247" s="1122">
        <v>9</v>
      </c>
      <c r="BE247" s="164" t="str">
        <f t="shared" si="603"/>
        <v>N/A</v>
      </c>
      <c r="BF247" s="185"/>
      <c r="BG247" s="1122">
        <v>9</v>
      </c>
      <c r="BH247" s="164" t="str">
        <f t="shared" si="605"/>
        <v>N/A</v>
      </c>
      <c r="BI247" s="185"/>
      <c r="BJ247" s="1122">
        <v>9</v>
      </c>
      <c r="BK247" s="164" t="str">
        <f t="shared" si="607"/>
        <v>N/A</v>
      </c>
      <c r="BL247" s="185"/>
      <c r="BO247" s="167"/>
      <c r="BP247" s="167"/>
      <c r="BQ247" s="167" t="str">
        <f t="shared" si="554"/>
        <v/>
      </c>
      <c r="BR247" s="167">
        <f t="shared" si="608"/>
        <v>9</v>
      </c>
      <c r="BS247" s="167">
        <f t="shared" si="609"/>
        <v>9</v>
      </c>
      <c r="BT247" s="167">
        <f t="shared" si="610"/>
        <v>9</v>
      </c>
      <c r="BW247" s="193"/>
      <c r="BX247" s="193"/>
      <c r="BY247" s="193"/>
      <c r="BZ247" s="193"/>
      <c r="CA247" s="193"/>
      <c r="CB247" s="193"/>
    </row>
    <row r="248" spans="1:81" ht="15.75" thickBot="1" x14ac:dyDescent="0.3">
      <c r="A248" s="96">
        <v>240</v>
      </c>
      <c r="B248" s="96" t="s">
        <v>813</v>
      </c>
      <c r="C248" s="96" t="s">
        <v>482</v>
      </c>
      <c r="D248" s="731" t="s">
        <v>813</v>
      </c>
      <c r="E248" s="972" t="s">
        <v>985</v>
      </c>
      <c r="F248" s="771" t="s">
        <v>234</v>
      </c>
      <c r="G248" s="771" t="s">
        <v>234</v>
      </c>
      <c r="H248" s="771" t="s">
        <v>234</v>
      </c>
      <c r="I248" s="771" t="s">
        <v>234</v>
      </c>
      <c r="J248" s="771" t="s">
        <v>234</v>
      </c>
      <c r="K248" s="771" t="s">
        <v>234</v>
      </c>
      <c r="L248" s="771" t="s">
        <v>234</v>
      </c>
      <c r="M248" s="771" t="s">
        <v>234</v>
      </c>
      <c r="N248" s="771" t="s">
        <v>234</v>
      </c>
      <c r="O248" s="771" t="s">
        <v>234</v>
      </c>
      <c r="P248" s="771" t="s">
        <v>234</v>
      </c>
      <c r="Q248" s="772" t="s">
        <v>234</v>
      </c>
      <c r="R248" s="772" t="s">
        <v>234</v>
      </c>
      <c r="T248" s="221" t="str">
        <f t="shared" si="596"/>
        <v>Yes/No</v>
      </c>
      <c r="U248" s="241"/>
      <c r="V248" s="239"/>
      <c r="W248" s="167"/>
      <c r="X248" s="167"/>
      <c r="Y248" s="168"/>
      <c r="Z248" s="168"/>
      <c r="AA248" s="169"/>
      <c r="AB248" s="213" t="str">
        <f t="shared" si="597"/>
        <v>Yes/No</v>
      </c>
      <c r="AD248" s="171"/>
      <c r="AE248" s="240" t="s">
        <v>235</v>
      </c>
      <c r="AF248" s="240" t="s">
        <v>235</v>
      </c>
      <c r="AG248" s="240" t="s">
        <v>235</v>
      </c>
      <c r="AI248" s="214">
        <f>IF(VLOOKUP(E248,'Pre-Assessment Estimator'!$E$11:$AB$226,'Pre-Assessment Estimator'!$G$2,FALSE)&gt;AB248,AB248,VLOOKUP(E248,'Pre-Assessment Estimator'!$E$11:$AB$226,'Pre-Assessment Estimator'!$G$2,FALSE))</f>
        <v>0</v>
      </c>
      <c r="AJ248" s="172">
        <f>IF(VLOOKUP(E248,'Pre-Assessment Estimator'!$E$11:$AB$226,'Pre-Assessment Estimator'!$N$2,FALSE)&gt;AB248,AB248,VLOOKUP(E248,'Pre-Assessment Estimator'!$E$11:$AB$226,'Pre-Assessment Estimator'!$N$2,FALSE))</f>
        <v>0</v>
      </c>
      <c r="AK248" s="172">
        <f>IF(VLOOKUP(E248,'Pre-Assessment Estimator'!$E$11:$AB$226,'Pre-Assessment Estimator'!$U$2,FALSE)&gt;AB248,AB248,VLOOKUP(E248,'Pre-Assessment Estimator'!$E$11:$AB$226,'Pre-Assessment Estimator'!$U$2,FALSE))</f>
        <v>0</v>
      </c>
      <c r="AM248" s="729"/>
      <c r="AN248" s="232"/>
      <c r="AO248" s="232"/>
      <c r="AP248" s="232"/>
      <c r="AQ248" s="233"/>
      <c r="AS248" s="729"/>
      <c r="AT248" s="232"/>
      <c r="AU248" s="232"/>
      <c r="AV248" s="232"/>
      <c r="AW248" s="233"/>
      <c r="AY248" s="182">
        <f t="shared" si="639"/>
        <v>0</v>
      </c>
      <c r="AZ248" s="183">
        <f t="shared" si="640"/>
        <v>0</v>
      </c>
      <c r="BA248" s="183">
        <f t="shared" si="641"/>
        <v>0</v>
      </c>
      <c r="BB248" s="183">
        <f t="shared" si="642"/>
        <v>0</v>
      </c>
      <c r="BC248" s="187">
        <f t="shared" si="622"/>
        <v>0</v>
      </c>
      <c r="BD248" s="1122">
        <v>9</v>
      </c>
      <c r="BE248" s="164" t="str">
        <f t="shared" si="603"/>
        <v>N/A</v>
      </c>
      <c r="BF248" s="185"/>
      <c r="BG248" s="1122">
        <v>9</v>
      </c>
      <c r="BH248" s="164" t="str">
        <f t="shared" si="605"/>
        <v>N/A</v>
      </c>
      <c r="BI248" s="185"/>
      <c r="BJ248" s="1122">
        <v>9</v>
      </c>
      <c r="BK248" s="164" t="str">
        <f t="shared" si="607"/>
        <v>N/A</v>
      </c>
      <c r="BL248" s="185"/>
      <c r="BO248" s="167"/>
      <c r="BP248" s="167"/>
      <c r="BQ248" s="167" t="str">
        <f t="shared" si="554"/>
        <v/>
      </c>
      <c r="BR248" s="167">
        <f t="shared" si="608"/>
        <v>9</v>
      </c>
      <c r="BS248" s="167">
        <f t="shared" si="609"/>
        <v>9</v>
      </c>
      <c r="BT248" s="167">
        <f t="shared" si="610"/>
        <v>9</v>
      </c>
      <c r="BW248" s="193"/>
      <c r="BX248" s="193"/>
      <c r="BY248" s="193"/>
      <c r="BZ248" s="193"/>
      <c r="CA248" s="193"/>
      <c r="CB248" s="193"/>
    </row>
    <row r="249" spans="1:81" ht="15.75" thickBot="1" x14ac:dyDescent="0.3">
      <c r="A249" s="96">
        <v>241</v>
      </c>
      <c r="B249" s="96" t="s">
        <v>896</v>
      </c>
      <c r="C249" s="96" t="s">
        <v>381</v>
      </c>
      <c r="D249" s="731" t="s">
        <v>896</v>
      </c>
      <c r="E249" s="1156" t="s">
        <v>987</v>
      </c>
      <c r="F249" s="771" t="s">
        <v>234</v>
      </c>
      <c r="G249" s="771" t="s">
        <v>234</v>
      </c>
      <c r="H249" s="771" t="s">
        <v>234</v>
      </c>
      <c r="I249" s="771" t="s">
        <v>234</v>
      </c>
      <c r="J249" s="771" t="s">
        <v>234</v>
      </c>
      <c r="K249" s="771" t="s">
        <v>234</v>
      </c>
      <c r="L249" s="771" t="s">
        <v>234</v>
      </c>
      <c r="M249" s="771" t="s">
        <v>234</v>
      </c>
      <c r="N249" s="771" t="s">
        <v>234</v>
      </c>
      <c r="O249" s="771" t="s">
        <v>234</v>
      </c>
      <c r="P249" s="771" t="s">
        <v>234</v>
      </c>
      <c r="Q249" s="772" t="s">
        <v>234</v>
      </c>
      <c r="R249" s="772" t="s">
        <v>234</v>
      </c>
      <c r="T249" s="221" t="str">
        <f t="shared" si="596"/>
        <v>Yes/No</v>
      </c>
      <c r="U249" s="241"/>
      <c r="V249" s="239"/>
      <c r="W249" s="167"/>
      <c r="X249" s="167"/>
      <c r="Y249" s="168"/>
      <c r="Z249" s="168"/>
      <c r="AA249" s="169"/>
      <c r="AB249" s="1023">
        <f>IF('Assessment Details'!F24=AD_Yes,Poeng!T249,0)</f>
        <v>0</v>
      </c>
      <c r="AD249" s="171"/>
      <c r="AE249" s="240" t="s">
        <v>235</v>
      </c>
      <c r="AF249" s="240" t="s">
        <v>235</v>
      </c>
      <c r="AG249" s="240" t="s">
        <v>235</v>
      </c>
      <c r="AI249" s="214">
        <f>IF(VLOOKUP(E249,'Pre-Assessment Estimator'!$E$11:$AB$226,'Pre-Assessment Estimator'!$G$2,FALSE)&gt;AB249,AB249,VLOOKUP(E249,'Pre-Assessment Estimator'!$E$11:$AB$226,'Pre-Assessment Estimator'!$G$2,FALSE))</f>
        <v>0</v>
      </c>
      <c r="AJ249" s="172">
        <f>IF(VLOOKUP(E249,'Pre-Assessment Estimator'!$E$11:$AB$226,'Pre-Assessment Estimator'!$N$2,FALSE)&gt;AB249,AB249,VLOOKUP(E249,'Pre-Assessment Estimator'!$E$11:$AB$226,'Pre-Assessment Estimator'!$N$2,FALSE))</f>
        <v>0</v>
      </c>
      <c r="AK249" s="172">
        <f>IF(VLOOKUP(E249,'Pre-Assessment Estimator'!$E$11:$AB$226,'Pre-Assessment Estimator'!$U$2,FALSE)&gt;AB249,AB249,VLOOKUP(E249,'Pre-Assessment Estimator'!$E$11:$AB$226,'Pre-Assessment Estimator'!$U$2,FALSE))</f>
        <v>0</v>
      </c>
      <c r="AM249" s="729"/>
      <c r="AN249" s="232"/>
      <c r="AO249" s="232"/>
      <c r="AP249" s="232"/>
      <c r="AQ249" s="233"/>
      <c r="AS249" s="729"/>
      <c r="AT249" s="232"/>
      <c r="AU249" s="232"/>
      <c r="AV249" s="232"/>
      <c r="AW249" s="233"/>
      <c r="AY249" s="182">
        <f t="shared" ref="AY249:AY252" si="648">IF($E$6=$H$9,AS249,AM249)</f>
        <v>0</v>
      </c>
      <c r="AZ249" s="183">
        <f t="shared" ref="AZ249:AZ252" si="649">IF($E$6=$H$9,AT249,AN249)</f>
        <v>0</v>
      </c>
      <c r="BA249" s="183">
        <f t="shared" ref="BA249:BA252" si="650">IF($E$6=$H$9,AU249,AO249)</f>
        <v>0</v>
      </c>
      <c r="BB249" s="183">
        <f t="shared" ref="BB249:BB252" si="651">IF($E$6=$H$9,AV249,AP249)</f>
        <v>0</v>
      </c>
      <c r="BC249" s="187">
        <f t="shared" ref="BC249:BC252" si="652">IF($E$6=$H$9,AW249,AQ249)</f>
        <v>0</v>
      </c>
      <c r="BD249" s="1122">
        <v>9</v>
      </c>
      <c r="BE249" s="164" t="str">
        <f t="shared" si="603"/>
        <v>N/A</v>
      </c>
      <c r="BF249" s="185"/>
      <c r="BG249" s="1122">
        <v>9</v>
      </c>
      <c r="BH249" s="164" t="str">
        <f t="shared" si="605"/>
        <v>N/A</v>
      </c>
      <c r="BI249" s="185"/>
      <c r="BJ249" s="1122">
        <v>9</v>
      </c>
      <c r="BK249" s="164" t="str">
        <f t="shared" si="607"/>
        <v>N/A</v>
      </c>
      <c r="BL249" s="1013"/>
      <c r="BO249" s="167"/>
      <c r="BP249" s="167"/>
      <c r="BQ249" s="167" t="str">
        <f t="shared" si="554"/>
        <v/>
      </c>
      <c r="BR249" s="167">
        <f t="shared" si="608"/>
        <v>9</v>
      </c>
      <c r="BS249" s="167">
        <f t="shared" si="609"/>
        <v>9</v>
      </c>
      <c r="BT249" s="167">
        <f t="shared" si="610"/>
        <v>9</v>
      </c>
      <c r="BW249" s="193"/>
      <c r="BX249" s="193"/>
      <c r="BY249" s="193"/>
      <c r="BZ249" s="193"/>
      <c r="CA249" s="193"/>
      <c r="CB249" s="193"/>
    </row>
    <row r="250" spans="1:81" ht="30.75" thickBot="1" x14ac:dyDescent="0.3">
      <c r="A250" s="96">
        <v>242</v>
      </c>
      <c r="B250" s="96" t="s">
        <v>1024</v>
      </c>
      <c r="C250" s="96" t="s">
        <v>176</v>
      </c>
      <c r="D250" s="731" t="s">
        <v>1024</v>
      </c>
      <c r="E250" s="1156" t="s">
        <v>1155</v>
      </c>
      <c r="F250" s="771" t="s">
        <v>234</v>
      </c>
      <c r="G250" s="771" t="s">
        <v>234</v>
      </c>
      <c r="H250" s="771" t="s">
        <v>234</v>
      </c>
      <c r="I250" s="771" t="s">
        <v>234</v>
      </c>
      <c r="J250" s="771" t="s">
        <v>234</v>
      </c>
      <c r="K250" s="771" t="s">
        <v>234</v>
      </c>
      <c r="L250" s="771" t="s">
        <v>234</v>
      </c>
      <c r="M250" s="771" t="s">
        <v>234</v>
      </c>
      <c r="N250" s="771" t="s">
        <v>234</v>
      </c>
      <c r="O250" s="771" t="s">
        <v>234</v>
      </c>
      <c r="P250" s="771" t="s">
        <v>234</v>
      </c>
      <c r="Q250" s="772" t="s">
        <v>234</v>
      </c>
      <c r="R250" s="772" t="s">
        <v>234</v>
      </c>
      <c r="T250" s="221" t="str">
        <f t="shared" si="596"/>
        <v>Yes/No</v>
      </c>
      <c r="U250" s="241"/>
      <c r="V250" s="239"/>
      <c r="W250" s="167"/>
      <c r="X250" s="167"/>
      <c r="Y250" s="168"/>
      <c r="Z250" s="168"/>
      <c r="AA250" s="169"/>
      <c r="AB250" s="1023" t="str">
        <f>IF(AB145=0,0,T250)</f>
        <v>Yes/No</v>
      </c>
      <c r="AD250" s="171"/>
      <c r="AE250" s="240" t="s">
        <v>235</v>
      </c>
      <c r="AF250" s="240" t="s">
        <v>235</v>
      </c>
      <c r="AG250" s="240" t="s">
        <v>235</v>
      </c>
      <c r="AI250" s="214">
        <f>IF(VLOOKUP(E250,'Pre-Assessment Estimator'!$E$11:$AB$226,'Pre-Assessment Estimator'!$G$2,FALSE)&gt;AB250,AB250,VLOOKUP(E250,'Pre-Assessment Estimator'!$E$11:$AB$226,'Pre-Assessment Estimator'!$G$2,FALSE))</f>
        <v>0</v>
      </c>
      <c r="AJ250" s="172">
        <f>IF(VLOOKUP(E250,'Pre-Assessment Estimator'!$E$11:$AB$226,'Pre-Assessment Estimator'!$N$2,FALSE)&gt;AB250,AB250,VLOOKUP(E250,'Pre-Assessment Estimator'!$E$11:$AB$226,'Pre-Assessment Estimator'!$N$2,FALSE))</f>
        <v>0</v>
      </c>
      <c r="AK250" s="172">
        <f>IF(VLOOKUP(E250,'Pre-Assessment Estimator'!$E$11:$AB$226,'Pre-Assessment Estimator'!$U$2,FALSE)&gt;AB250,AB250,VLOOKUP(E250,'Pre-Assessment Estimator'!$E$11:$AB$226,'Pre-Assessment Estimator'!$U$2,FALSE))</f>
        <v>0</v>
      </c>
      <c r="AM250" s="729" t="s">
        <v>12</v>
      </c>
      <c r="AN250" s="232" t="s">
        <v>12</v>
      </c>
      <c r="AO250" s="232" t="s">
        <v>12</v>
      </c>
      <c r="AP250" s="232" t="s">
        <v>12</v>
      </c>
      <c r="AQ250" s="233" t="s">
        <v>12</v>
      </c>
      <c r="AS250" s="729" t="s">
        <v>12</v>
      </c>
      <c r="AT250" s="232" t="s">
        <v>12</v>
      </c>
      <c r="AU250" s="232" t="s">
        <v>12</v>
      </c>
      <c r="AV250" s="232" t="s">
        <v>12</v>
      </c>
      <c r="AW250" s="233" t="s">
        <v>12</v>
      </c>
      <c r="AY250" s="182" t="str">
        <f t="shared" ref="AY250" si="653">IF($E$6=$H$9,AS250,AM250)</f>
        <v>Yes</v>
      </c>
      <c r="AZ250" s="183" t="str">
        <f t="shared" ref="AZ250" si="654">IF($E$6=$H$9,AT250,AN250)</f>
        <v>Yes</v>
      </c>
      <c r="BA250" s="183" t="str">
        <f t="shared" ref="BA250" si="655">IF($E$6=$H$9,AU250,AO250)</f>
        <v>Yes</v>
      </c>
      <c r="BB250" s="183" t="str">
        <f t="shared" ref="BB250" si="656">IF($E$6=$H$9,AV250,AP250)</f>
        <v>Yes</v>
      </c>
      <c r="BC250" s="187" t="str">
        <f t="shared" ref="BC250" si="657">IF($E$6=$H$9,AW250,AQ250)</f>
        <v>Yes</v>
      </c>
      <c r="BD250" s="1005">
        <f>BD145</f>
        <v>0</v>
      </c>
      <c r="BE250" s="164" t="str">
        <f t="shared" si="603"/>
        <v>Unclassified</v>
      </c>
      <c r="BF250" s="185"/>
      <c r="BG250" s="1005">
        <f>BG145</f>
        <v>0</v>
      </c>
      <c r="BH250" s="164" t="str">
        <f t="shared" si="605"/>
        <v>Unclassified</v>
      </c>
      <c r="BI250" s="185"/>
      <c r="BJ250" s="1005">
        <f>BJ145</f>
        <v>0</v>
      </c>
      <c r="BK250" s="164" t="str">
        <f t="shared" si="607"/>
        <v>Unclassified</v>
      </c>
      <c r="BL250" s="1013"/>
      <c r="BO250" s="167"/>
      <c r="BP250" s="167" t="s">
        <v>12</v>
      </c>
      <c r="BQ250" s="167" t="str">
        <f t="shared" si="554"/>
        <v>Yes</v>
      </c>
      <c r="BR250" s="1181">
        <f>IF(AB145=0,9,IF(BQ250="",9,(IF(AI250=AD_Yes,5,0))))</f>
        <v>0</v>
      </c>
      <c r="BS250" s="1181">
        <f>IF(AB145=0,9,IF(BQ250="",9,(IF(AJ250=AD_Yes,5,0))))</f>
        <v>0</v>
      </c>
      <c r="BT250" s="1181">
        <f>IF(AB145=0,9,IF(BQ250="",9,(IF(AK250=AD_Yes,5,0))))</f>
        <v>0</v>
      </c>
      <c r="BW250" s="193"/>
      <c r="BX250" s="193"/>
      <c r="BY250" s="193"/>
      <c r="BZ250" s="193"/>
      <c r="CA250" s="193"/>
      <c r="CB250" s="193"/>
    </row>
    <row r="251" spans="1:81" ht="15.75" thickBot="1" x14ac:dyDescent="0.3">
      <c r="A251" s="96">
        <v>243</v>
      </c>
      <c r="B251" s="96" t="s">
        <v>980</v>
      </c>
      <c r="C251" s="96" t="s">
        <v>177</v>
      </c>
      <c r="D251" s="731" t="s">
        <v>980</v>
      </c>
      <c r="E251" s="1252" t="s">
        <v>1104</v>
      </c>
      <c r="F251" s="771" t="s">
        <v>234</v>
      </c>
      <c r="G251" s="771" t="s">
        <v>234</v>
      </c>
      <c r="H251" s="771" t="s">
        <v>234</v>
      </c>
      <c r="I251" s="771" t="s">
        <v>234</v>
      </c>
      <c r="J251" s="771" t="s">
        <v>234</v>
      </c>
      <c r="K251" s="771" t="s">
        <v>234</v>
      </c>
      <c r="L251" s="771" t="s">
        <v>234</v>
      </c>
      <c r="M251" s="771" t="s">
        <v>234</v>
      </c>
      <c r="N251" s="771" t="s">
        <v>234</v>
      </c>
      <c r="O251" s="771" t="s">
        <v>234</v>
      </c>
      <c r="P251" s="771" t="s">
        <v>234</v>
      </c>
      <c r="Q251" s="772" t="s">
        <v>234</v>
      </c>
      <c r="R251" s="772" t="s">
        <v>234</v>
      </c>
      <c r="T251" s="221" t="str">
        <f t="shared" si="596"/>
        <v>Yes/No</v>
      </c>
      <c r="U251" s="241"/>
      <c r="V251" s="239"/>
      <c r="W251" s="167"/>
      <c r="X251" s="167"/>
      <c r="Y251" s="168"/>
      <c r="Z251" s="168"/>
      <c r="AA251" s="169"/>
      <c r="AB251" s="213" t="str">
        <f>T251</f>
        <v>Yes/No</v>
      </c>
      <c r="AD251" s="171"/>
      <c r="AE251" s="240" t="s">
        <v>235</v>
      </c>
      <c r="AF251" s="240" t="s">
        <v>235</v>
      </c>
      <c r="AG251" s="240" t="s">
        <v>235</v>
      </c>
      <c r="AI251" s="214">
        <f>IF(VLOOKUP(E251,'Pre-Assessment Estimator'!$E$11:$AB$226,'Pre-Assessment Estimator'!$G$2,FALSE)&gt;AB251,AB251,VLOOKUP(E251,'Pre-Assessment Estimator'!$E$11:$AB$226,'Pre-Assessment Estimator'!$G$2,FALSE))</f>
        <v>0</v>
      </c>
      <c r="AJ251" s="172">
        <f>IF(VLOOKUP(E251,'Pre-Assessment Estimator'!$E$11:$AB$226,'Pre-Assessment Estimator'!$N$2,FALSE)&gt;AB251,AB251,VLOOKUP(E251,'Pre-Assessment Estimator'!$E$11:$AB$226,'Pre-Assessment Estimator'!$N$2,FALSE))</f>
        <v>0</v>
      </c>
      <c r="AK251" s="172">
        <f>IF(VLOOKUP(E251,'Pre-Assessment Estimator'!$E$11:$AB$226,'Pre-Assessment Estimator'!$U$2,FALSE)&gt;AB251,AB251,VLOOKUP(E251,'Pre-Assessment Estimator'!$E$11:$AB$226,'Pre-Assessment Estimator'!$U$2,FALSE))</f>
        <v>0</v>
      </c>
      <c r="AM251" s="729" t="s">
        <v>12</v>
      </c>
      <c r="AN251" s="232" t="s">
        <v>12</v>
      </c>
      <c r="AO251" s="232" t="s">
        <v>12</v>
      </c>
      <c r="AP251" s="232"/>
      <c r="AQ251" s="233"/>
      <c r="AS251" s="729" t="s">
        <v>12</v>
      </c>
      <c r="AT251" s="232" t="s">
        <v>12</v>
      </c>
      <c r="AU251" s="232" t="s">
        <v>12</v>
      </c>
      <c r="AV251" s="232"/>
      <c r="AW251" s="233"/>
      <c r="AY251" s="182" t="str">
        <f t="shared" si="648"/>
        <v>Yes</v>
      </c>
      <c r="AZ251" s="183" t="str">
        <f t="shared" si="649"/>
        <v>Yes</v>
      </c>
      <c r="BA251" s="183" t="str">
        <f t="shared" si="650"/>
        <v>Yes</v>
      </c>
      <c r="BB251" s="183">
        <f t="shared" si="651"/>
        <v>0</v>
      </c>
      <c r="BC251" s="187">
        <f t="shared" si="652"/>
        <v>0</v>
      </c>
      <c r="BD251" s="1188">
        <f>IF(AI251=AD_Yes,5,3)</f>
        <v>3</v>
      </c>
      <c r="BE251" s="164" t="str">
        <f t="shared" si="603"/>
        <v>Very Good</v>
      </c>
      <c r="BF251" s="1154">
        <f>IF(AI251="Yes",3,0)</f>
        <v>0</v>
      </c>
      <c r="BG251" s="673">
        <f>IF(AJ251=AD_Yes,5,3)</f>
        <v>3</v>
      </c>
      <c r="BH251" s="164" t="str">
        <f t="shared" si="605"/>
        <v>Very Good</v>
      </c>
      <c r="BI251" s="1154">
        <f>IF(AJ251="Yes",3,0)</f>
        <v>0</v>
      </c>
      <c r="BJ251" s="673">
        <f>IF(AK251=AD_Yes,5,3)</f>
        <v>3</v>
      </c>
      <c r="BK251" s="164" t="str">
        <f t="shared" si="607"/>
        <v>Very Good</v>
      </c>
      <c r="BL251" s="1154">
        <f>IF(AK251="Yes",3,0)</f>
        <v>0</v>
      </c>
      <c r="BO251" s="167"/>
      <c r="BP251" s="189" t="s">
        <v>12</v>
      </c>
      <c r="BQ251" s="167" t="str">
        <f t="shared" si="554"/>
        <v>Yes</v>
      </c>
      <c r="BR251" s="167">
        <f>IF(BQ251="",9,(IF(AI251=AD_Yes,5,0)))</f>
        <v>0</v>
      </c>
      <c r="BS251" s="167">
        <f t="shared" ref="BS251" si="658">IF(BQ251="",9,(IF(AJ251=AD_Yes,5,0)))</f>
        <v>0</v>
      </c>
      <c r="BT251" s="167">
        <f t="shared" ref="BT251" si="659">IF(BQ251="",9,(IF(AK251=AD_Yes,5,0)))</f>
        <v>0</v>
      </c>
      <c r="BW251" s="193"/>
      <c r="BX251" s="193"/>
      <c r="BY251" s="193"/>
      <c r="BZ251" s="193"/>
      <c r="CA251" s="193"/>
      <c r="CB251" s="193"/>
    </row>
    <row r="252" spans="1:81" ht="15.75" thickBot="1" x14ac:dyDescent="0.3">
      <c r="A252" s="96">
        <v>244</v>
      </c>
      <c r="B252" s="96" t="s">
        <v>981</v>
      </c>
      <c r="C252" s="96" t="s">
        <v>180</v>
      </c>
      <c r="D252" s="194" t="s">
        <v>981</v>
      </c>
      <c r="E252" s="1252" t="s">
        <v>1041</v>
      </c>
      <c r="F252" s="771" t="s">
        <v>234</v>
      </c>
      <c r="G252" s="771" t="s">
        <v>234</v>
      </c>
      <c r="H252" s="771" t="s">
        <v>234</v>
      </c>
      <c r="I252" s="771" t="s">
        <v>234</v>
      </c>
      <c r="J252" s="771" t="s">
        <v>234</v>
      </c>
      <c r="K252" s="771" t="s">
        <v>234</v>
      </c>
      <c r="L252" s="771" t="s">
        <v>234</v>
      </c>
      <c r="M252" s="771" t="s">
        <v>234</v>
      </c>
      <c r="N252" s="771" t="s">
        <v>234</v>
      </c>
      <c r="O252" s="771" t="s">
        <v>234</v>
      </c>
      <c r="P252" s="771" t="s">
        <v>234</v>
      </c>
      <c r="Q252" s="772" t="s">
        <v>234</v>
      </c>
      <c r="R252" s="772" t="s">
        <v>234</v>
      </c>
      <c r="T252" s="221" t="str">
        <f t="shared" si="596"/>
        <v>Yes/No</v>
      </c>
      <c r="U252" s="241"/>
      <c r="V252" s="239"/>
      <c r="W252" s="167"/>
      <c r="X252" s="167"/>
      <c r="Y252" s="168"/>
      <c r="Z252" s="168"/>
      <c r="AA252" s="169"/>
      <c r="AB252" s="213" t="str">
        <f>T252</f>
        <v>Yes/No</v>
      </c>
      <c r="AD252" s="171"/>
      <c r="AE252" s="240" t="s">
        <v>235</v>
      </c>
      <c r="AF252" s="240" t="s">
        <v>235</v>
      </c>
      <c r="AG252" s="240" t="s">
        <v>235</v>
      </c>
      <c r="AI252" s="214">
        <f>IF(VLOOKUP(E252,'Pre-Assessment Estimator'!$E$11:$AB$226,'Pre-Assessment Estimator'!$G$2,FALSE)&gt;AB252,AB252,VLOOKUP(E252,'Pre-Assessment Estimator'!$E$11:$AB$226,'Pre-Assessment Estimator'!$G$2,FALSE))</f>
        <v>0</v>
      </c>
      <c r="AJ252" s="172">
        <f>IF(VLOOKUP(E252,'Pre-Assessment Estimator'!$E$11:$AB$226,'Pre-Assessment Estimator'!$N$2,FALSE)&gt;AB252,AB252,VLOOKUP(E252,'Pre-Assessment Estimator'!$E$11:$AB$226,'Pre-Assessment Estimator'!$N$2,FALSE))</f>
        <v>0</v>
      </c>
      <c r="AK252" s="172">
        <f>IF(VLOOKUP(E252,'Pre-Assessment Estimator'!$E$11:$AB$226,'Pre-Assessment Estimator'!$U$2,FALSE)&gt;AB252,AB252,VLOOKUP(E252,'Pre-Assessment Estimator'!$E$11:$AB$226,'Pre-Assessment Estimator'!$U$2,FALSE))</f>
        <v>0</v>
      </c>
      <c r="AM252" s="309"/>
      <c r="AN252" s="310"/>
      <c r="AO252" s="310"/>
      <c r="AP252" s="310" t="s">
        <v>12</v>
      </c>
      <c r="AQ252" s="311" t="s">
        <v>12</v>
      </c>
      <c r="AS252" s="309"/>
      <c r="AT252" s="310"/>
      <c r="AU252" s="310"/>
      <c r="AV252" s="310" t="s">
        <v>12</v>
      </c>
      <c r="AW252" s="311" t="s">
        <v>12</v>
      </c>
      <c r="AY252" s="182">
        <f t="shared" si="648"/>
        <v>0</v>
      </c>
      <c r="AZ252" s="183">
        <f t="shared" si="649"/>
        <v>0</v>
      </c>
      <c r="BA252" s="183">
        <f t="shared" si="650"/>
        <v>0</v>
      </c>
      <c r="BB252" s="183" t="str">
        <f t="shared" si="651"/>
        <v>Yes</v>
      </c>
      <c r="BC252" s="187" t="str">
        <f t="shared" si="652"/>
        <v>Yes</v>
      </c>
      <c r="BD252" s="182">
        <f>IF(AI252="Yes",5,3)</f>
        <v>3</v>
      </c>
      <c r="BE252" s="164" t="str">
        <f>VLOOKUP(BD252,$BO$284:$BT$290,6,FALSE)</f>
        <v>Very Good</v>
      </c>
      <c r="BF252" s="185"/>
      <c r="BG252" s="182">
        <f>IF(AJ252="Yes",5,3)</f>
        <v>3</v>
      </c>
      <c r="BH252" s="164" t="str">
        <f>VLOOKUP(BG252,$BO$284:$BT$290,6,FALSE)</f>
        <v>Very Good</v>
      </c>
      <c r="BI252" s="185"/>
      <c r="BJ252" s="182">
        <f>IF(AK252="Yes",5,3)</f>
        <v>3</v>
      </c>
      <c r="BK252" s="164" t="str">
        <f>VLOOKUP(BJ252,$BO$284:$BT$290,6,FALSE)</f>
        <v>Very Good</v>
      </c>
      <c r="BL252" s="185"/>
      <c r="BO252" s="193"/>
      <c r="BP252" s="167" t="s">
        <v>12</v>
      </c>
      <c r="BQ252" s="167" t="str">
        <f t="shared" ref="BQ252" si="660">IF(BO252&lt;&gt;"",BO252,IF(BP252&lt;&gt;"",BP252,""))</f>
        <v>Yes</v>
      </c>
      <c r="BR252" s="167">
        <f>IF(BQ252="",9,(IF(AI252=AD_Yes,5,0)))</f>
        <v>0</v>
      </c>
      <c r="BS252" s="167">
        <f>IF(BQ252="",9,(IF(AJ252=AD_Yes,5,0)))</f>
        <v>0</v>
      </c>
      <c r="BT252" s="167">
        <f>IF(BQ252="",9,(IF(AK252=AD_Yes,5,0)))</f>
        <v>0</v>
      </c>
      <c r="BW252" s="196"/>
      <c r="BX252" s="196"/>
      <c r="BY252" s="196">
        <f>IFERROR(VLOOKUP($E252,'Pre-Assessment Estimator'!$E$11:$AI$226,'Pre-Assessment Estimator'!AI$2,FALSE),"")</f>
        <v>0</v>
      </c>
      <c r="BZ252" s="196" t="str">
        <f>IFERROR(VLOOKUP($BX252,$E$293:$H$326,F$291,FALSE),"")</f>
        <v/>
      </c>
      <c r="CA252" s="196" t="str">
        <f>IFERROR(VLOOKUP($BX252,$E$293:$H$326,G$291,FALSE),"")</f>
        <v/>
      </c>
      <c r="CB252" s="196"/>
      <c r="CC252" s="96" t="str">
        <f>IFERROR(VLOOKUP($BX252,$E$293:$H$326,I$291,FALSE),"")</f>
        <v/>
      </c>
    </row>
    <row r="253" spans="1:81" ht="15.75" thickBot="1" x14ac:dyDescent="0.3">
      <c r="A253" s="96">
        <v>245</v>
      </c>
      <c r="B253" s="96" t="s">
        <v>1019</v>
      </c>
      <c r="C253" s="96" t="s">
        <v>135</v>
      </c>
      <c r="D253" s="242" t="s">
        <v>1019</v>
      </c>
      <c r="E253" s="1249" t="s">
        <v>1138</v>
      </c>
      <c r="F253" s="776" t="s">
        <v>234</v>
      </c>
      <c r="G253" s="776" t="s">
        <v>234</v>
      </c>
      <c r="H253" s="776" t="s">
        <v>234</v>
      </c>
      <c r="I253" s="776" t="s">
        <v>234</v>
      </c>
      <c r="J253" s="776" t="s">
        <v>234</v>
      </c>
      <c r="K253" s="776" t="s">
        <v>234</v>
      </c>
      <c r="L253" s="776" t="s">
        <v>234</v>
      </c>
      <c r="M253" s="776" t="s">
        <v>234</v>
      </c>
      <c r="N253" s="776" t="s">
        <v>234</v>
      </c>
      <c r="O253" s="776" t="s">
        <v>234</v>
      </c>
      <c r="P253" s="776" t="s">
        <v>234</v>
      </c>
      <c r="Q253" s="776" t="s">
        <v>234</v>
      </c>
      <c r="R253" s="777" t="s">
        <v>234</v>
      </c>
      <c r="T253" s="221" t="str">
        <f>HLOOKUP($E$6,$F$9:$R$255,$A253,FALSE)</f>
        <v>Yes/No</v>
      </c>
      <c r="U253" s="241"/>
      <c r="V253" s="239"/>
      <c r="W253" s="167"/>
      <c r="X253" s="167"/>
      <c r="Y253" s="168"/>
      <c r="Z253" s="168"/>
      <c r="AA253" s="169"/>
      <c r="AB253" s="213" t="str">
        <f>T253</f>
        <v>Yes/No</v>
      </c>
      <c r="AD253" s="171"/>
      <c r="AE253" s="240" t="s">
        <v>235</v>
      </c>
      <c r="AF253" s="240" t="s">
        <v>235</v>
      </c>
      <c r="AG253" s="240" t="s">
        <v>235</v>
      </c>
      <c r="AI253" s="214">
        <f>IF(VLOOKUP(E253,'Pre-Assessment Estimator'!$E$11:$AB$226,'Pre-Assessment Estimator'!$G$2,FALSE)&gt;AB253,AB253,VLOOKUP(E253,'Pre-Assessment Estimator'!$E$11:$AB$226,'Pre-Assessment Estimator'!$G$2,FALSE))</f>
        <v>0</v>
      </c>
      <c r="AJ253" s="172">
        <f>IF(VLOOKUP(E253,'Pre-Assessment Estimator'!$E$11:$AB$226,'Pre-Assessment Estimator'!$N$2,FALSE)&gt;AB253,AB253,VLOOKUP(E253,'Pre-Assessment Estimator'!$E$11:$AB$226,'Pre-Assessment Estimator'!$N$2,FALSE))</f>
        <v>0</v>
      </c>
      <c r="AK253" s="172">
        <f>IF(VLOOKUP(E253,'Pre-Assessment Estimator'!$E$11:$AB$226,'Pre-Assessment Estimator'!$U$2,FALSE)&gt;AB253,AB253,VLOOKUP(E253,'Pre-Assessment Estimator'!$E$11:$AB$226,'Pre-Assessment Estimator'!$U$2,FALSE))</f>
        <v>0</v>
      </c>
      <c r="AM253" s="1231"/>
      <c r="AN253" s="1231"/>
      <c r="AO253" s="1231"/>
      <c r="AP253" s="1231"/>
      <c r="AQ253" s="1231"/>
      <c r="AS253" s="1231"/>
      <c r="AT253" s="1231"/>
      <c r="AU253" s="1231"/>
      <c r="AV253" s="1231"/>
      <c r="AW253" s="1231"/>
      <c r="AY253" s="236"/>
      <c r="AZ253" s="236"/>
      <c r="BA253" s="236"/>
      <c r="BB253" s="236"/>
      <c r="BC253" s="236"/>
      <c r="BD253" s="236"/>
      <c r="BE253" s="1232" t="s">
        <v>14</v>
      </c>
      <c r="BF253" s="99"/>
      <c r="BG253" s="236"/>
      <c r="BH253" s="1232" t="s">
        <v>14</v>
      </c>
      <c r="BI253" s="1232"/>
      <c r="BJ253" s="1233"/>
      <c r="BK253" s="1232" t="s">
        <v>14</v>
      </c>
      <c r="BL253" s="99"/>
      <c r="BO253" s="99"/>
      <c r="BP253" s="167" t="s">
        <v>12</v>
      </c>
      <c r="BQ253" s="167" t="str">
        <f t="shared" ref="BQ253:BQ255" si="661">IF(BO253&lt;&gt;"",BO253,IF(BP253&lt;&gt;"",BP253,""))</f>
        <v>Yes</v>
      </c>
      <c r="BR253" s="167">
        <f>IF(BQ253="",9,(IF(AI253=AD_Yes,5,0)))</f>
        <v>0</v>
      </c>
      <c r="BS253" s="167">
        <f>IF(BQ253="",9,(IF(AJ253=AD_Yes,5,0)))</f>
        <v>0</v>
      </c>
      <c r="BT253" s="167">
        <f>IF(BQ253="",9,(IF(AK253=AD_Yes,5,0)))</f>
        <v>0</v>
      </c>
      <c r="BW253" s="242"/>
      <c r="BX253" s="242"/>
      <c r="BY253" s="242"/>
      <c r="BZ253" s="242"/>
      <c r="CA253" s="242"/>
      <c r="CB253" s="242"/>
    </row>
    <row r="254" spans="1:81" ht="15.75" thickBot="1" x14ac:dyDescent="0.3">
      <c r="A254" s="96">
        <v>246</v>
      </c>
      <c r="B254" s="242" t="s">
        <v>1020</v>
      </c>
      <c r="C254" s="96" t="s">
        <v>169</v>
      </c>
      <c r="D254" s="242" t="s">
        <v>1020</v>
      </c>
      <c r="E254" s="1250" t="s">
        <v>1164</v>
      </c>
      <c r="F254" s="769" t="s">
        <v>234</v>
      </c>
      <c r="G254" s="769" t="s">
        <v>234</v>
      </c>
      <c r="H254" s="769" t="s">
        <v>234</v>
      </c>
      <c r="I254" s="769" t="s">
        <v>234</v>
      </c>
      <c r="J254" s="769" t="s">
        <v>234</v>
      </c>
      <c r="K254" s="769" t="s">
        <v>234</v>
      </c>
      <c r="L254" s="769" t="s">
        <v>234</v>
      </c>
      <c r="M254" s="769" t="s">
        <v>234</v>
      </c>
      <c r="N254" s="769" t="s">
        <v>234</v>
      </c>
      <c r="O254" s="769" t="s">
        <v>234</v>
      </c>
      <c r="P254" s="769" t="s">
        <v>234</v>
      </c>
      <c r="Q254" s="769" t="s">
        <v>234</v>
      </c>
      <c r="R254" s="770" t="s">
        <v>234</v>
      </c>
      <c r="T254" s="221" t="str">
        <f>HLOOKUP($E$6,$F$9:$R$255,$A254,FALSE)</f>
        <v>Yes/No</v>
      </c>
      <c r="U254" s="241"/>
      <c r="V254" s="239"/>
      <c r="W254" s="167"/>
      <c r="X254" s="167"/>
      <c r="Y254" s="168"/>
      <c r="Z254" s="168"/>
      <c r="AA254" s="169"/>
      <c r="AB254" s="213" t="str">
        <f>IF(AB114=0,0,T254)</f>
        <v>Yes/No</v>
      </c>
      <c r="AD254" s="171"/>
      <c r="AE254" s="240" t="s">
        <v>235</v>
      </c>
      <c r="AF254" s="240" t="s">
        <v>235</v>
      </c>
      <c r="AG254" s="240" t="s">
        <v>235</v>
      </c>
      <c r="AI254" s="214">
        <f>IF(VLOOKUP(E254,'Pre-Assessment Estimator'!$E$11:$AB$226,'Pre-Assessment Estimator'!$G$2,FALSE)&gt;AB254,AB254,VLOOKUP(E254,'Pre-Assessment Estimator'!$E$11:$AB$226,'Pre-Assessment Estimator'!$G$2,FALSE))</f>
        <v>0</v>
      </c>
      <c r="AJ254" s="172">
        <f>IF(VLOOKUP(E254,'Pre-Assessment Estimator'!$E$11:$AB$226,'Pre-Assessment Estimator'!$N$2,FALSE)&gt;AB254,AB254,VLOOKUP(E254,'Pre-Assessment Estimator'!$E$11:$AB$226,'Pre-Assessment Estimator'!$N$2,FALSE))</f>
        <v>0</v>
      </c>
      <c r="AK254" s="172">
        <f>IF(VLOOKUP(E254,'Pre-Assessment Estimator'!$E$11:$AB$226,'Pre-Assessment Estimator'!$U$2,FALSE)&gt;AB254,AB254,VLOOKUP(E254,'Pre-Assessment Estimator'!$E$11:$AB$226,'Pre-Assessment Estimator'!$U$2,FALSE))</f>
        <v>0</v>
      </c>
      <c r="AM254" s="1231"/>
      <c r="AN254" s="1231"/>
      <c r="AO254" s="1231"/>
      <c r="AP254" s="1231"/>
      <c r="AQ254" s="1231"/>
      <c r="AS254" s="1231"/>
      <c r="AT254" s="1231"/>
      <c r="AU254" s="1231"/>
      <c r="AV254" s="1231"/>
      <c r="AW254" s="1231"/>
      <c r="AY254" s="236"/>
      <c r="AZ254" s="236"/>
      <c r="BA254" s="236"/>
      <c r="BB254" s="236"/>
      <c r="BC254" s="236"/>
      <c r="BD254" s="236"/>
      <c r="BE254" s="1232" t="s">
        <v>14</v>
      </c>
      <c r="BF254" s="99"/>
      <c r="BG254" s="236"/>
      <c r="BH254" s="1232" t="s">
        <v>14</v>
      </c>
      <c r="BI254" s="1232"/>
      <c r="BJ254" s="1233"/>
      <c r="BK254" s="1232" t="s">
        <v>14</v>
      </c>
      <c r="BL254" s="99"/>
      <c r="BO254" s="99"/>
      <c r="BP254" s="167" t="s">
        <v>12</v>
      </c>
      <c r="BQ254" s="167" t="str">
        <f t="shared" si="661"/>
        <v>Yes</v>
      </c>
      <c r="BR254" s="1181">
        <f>IF(AB254=0,9,IF(BQ254="",9,(IF(AI254=AD_Yes,5,0))))</f>
        <v>0</v>
      </c>
      <c r="BS254" s="1181">
        <f>IF(AB254=0,9,IF(BQ254="",9,(IF(AJ254=AD_Yes,5,0))))</f>
        <v>0</v>
      </c>
      <c r="BT254" s="1181">
        <f>IF(AB254=0,9,IF(BQ254="",9,(IF(AK254=AD_Yes,5,0))))</f>
        <v>0</v>
      </c>
      <c r="BW254" s="242"/>
      <c r="BX254" s="242"/>
      <c r="BY254" s="242"/>
      <c r="BZ254" s="242"/>
      <c r="CA254" s="242"/>
      <c r="CB254" s="242"/>
    </row>
    <row r="255" spans="1:81" ht="15.75" thickBot="1" x14ac:dyDescent="0.3">
      <c r="A255" s="96">
        <v>247</v>
      </c>
      <c r="B255" s="242" t="s">
        <v>1021</v>
      </c>
      <c r="C255" s="96" t="s">
        <v>177</v>
      </c>
      <c r="D255" s="242" t="s">
        <v>1021</v>
      </c>
      <c r="E255" s="1251" t="s">
        <v>1023</v>
      </c>
      <c r="F255" s="778" t="s">
        <v>234</v>
      </c>
      <c r="G255" s="778" t="s">
        <v>234</v>
      </c>
      <c r="H255" s="778" t="s">
        <v>234</v>
      </c>
      <c r="I255" s="778" t="s">
        <v>234</v>
      </c>
      <c r="J255" s="778" t="s">
        <v>234</v>
      </c>
      <c r="K255" s="778" t="s">
        <v>234</v>
      </c>
      <c r="L255" s="778" t="s">
        <v>234</v>
      </c>
      <c r="M255" s="778" t="s">
        <v>234</v>
      </c>
      <c r="N255" s="778" t="s">
        <v>234</v>
      </c>
      <c r="O255" s="778" t="s">
        <v>234</v>
      </c>
      <c r="P255" s="778" t="s">
        <v>234</v>
      </c>
      <c r="Q255" s="778" t="s">
        <v>234</v>
      </c>
      <c r="R255" s="779" t="s">
        <v>234</v>
      </c>
      <c r="T255" s="221" t="str">
        <f>HLOOKUP($E$6,$F$9:$R$255,$A255,FALSE)</f>
        <v>Yes/No</v>
      </c>
      <c r="U255" s="241"/>
      <c r="V255" s="239"/>
      <c r="W255" s="167"/>
      <c r="X255" s="167"/>
      <c r="Y255" s="168"/>
      <c r="Z255" s="168"/>
      <c r="AA255" s="169"/>
      <c r="AB255" s="213" t="str">
        <f>T255</f>
        <v>Yes/No</v>
      </c>
      <c r="AD255" s="171"/>
      <c r="AE255" s="240" t="s">
        <v>235</v>
      </c>
      <c r="AF255" s="240" t="s">
        <v>235</v>
      </c>
      <c r="AG255" s="240" t="s">
        <v>235</v>
      </c>
      <c r="AI255" s="214">
        <f>IF(VLOOKUP(E255,'Pre-Assessment Estimator'!$E$11:$AB$226,'Pre-Assessment Estimator'!$G$2,FALSE)&gt;AB255,AB255,VLOOKUP(E255,'Pre-Assessment Estimator'!$E$11:$AB$226,'Pre-Assessment Estimator'!$G$2,FALSE))</f>
        <v>0</v>
      </c>
      <c r="AJ255" s="172">
        <f>IF(VLOOKUP(E255,'Pre-Assessment Estimator'!$E$11:$AB$226,'Pre-Assessment Estimator'!$N$2,FALSE)&gt;AB255,AB255,VLOOKUP(E255,'Pre-Assessment Estimator'!$E$11:$AB$226,'Pre-Assessment Estimator'!$N$2,FALSE))</f>
        <v>0</v>
      </c>
      <c r="AK255" s="172">
        <f>IF(VLOOKUP(E255,'Pre-Assessment Estimator'!$E$11:$AB$226,'Pre-Assessment Estimator'!$U$2,FALSE)&gt;AB255,AB255,VLOOKUP(E255,'Pre-Assessment Estimator'!$E$11:$AB$226,'Pre-Assessment Estimator'!$U$2,FALSE))</f>
        <v>0</v>
      </c>
      <c r="AM255" s="1231"/>
      <c r="AN255" s="1231"/>
      <c r="AO255" s="1231"/>
      <c r="AP255" s="1231"/>
      <c r="AQ255" s="1231"/>
      <c r="AS255" s="1231"/>
      <c r="AT255" s="1231"/>
      <c r="AU255" s="1231"/>
      <c r="AV255" s="1231"/>
      <c r="AW255" s="1231"/>
      <c r="AY255" s="236"/>
      <c r="AZ255" s="236"/>
      <c r="BA255" s="236"/>
      <c r="BB255" s="236"/>
      <c r="BC255" s="236"/>
      <c r="BD255" s="236"/>
      <c r="BE255" s="1232" t="s">
        <v>14</v>
      </c>
      <c r="BF255" s="99"/>
      <c r="BG255" s="236"/>
      <c r="BH255" s="1232" t="s">
        <v>14</v>
      </c>
      <c r="BI255" s="1232"/>
      <c r="BJ255" s="1233"/>
      <c r="BK255" s="1232" t="s">
        <v>14</v>
      </c>
      <c r="BL255" s="99"/>
      <c r="BO255" s="99"/>
      <c r="BP255" s="167" t="s">
        <v>12</v>
      </c>
      <c r="BQ255" s="167" t="str">
        <f t="shared" si="661"/>
        <v>Yes</v>
      </c>
      <c r="BR255" s="167">
        <f>IF(BQ255="",9,(IF(AI255=AD_Yes,5,0)))</f>
        <v>0</v>
      </c>
      <c r="BS255" s="167">
        <f>IF(BQ255="",9,(IF(AJ255=AD_Yes,5,0)))</f>
        <v>0</v>
      </c>
      <c r="BT255" s="167">
        <f>IF(BQ255="",9,(IF(AK255=AD_Yes,5,0)))</f>
        <v>0</v>
      </c>
      <c r="BW255" s="242" t="s">
        <v>1152</v>
      </c>
      <c r="BX255" s="242"/>
      <c r="BY255" s="242"/>
      <c r="BZ255" s="242"/>
      <c r="CA255" s="242"/>
      <c r="CB255" s="242"/>
    </row>
    <row r="256" spans="1:81" ht="15.75" thickBot="1" x14ac:dyDescent="0.3">
      <c r="A256" s="96">
        <v>248</v>
      </c>
      <c r="B256" s="242"/>
      <c r="D256" s="242"/>
      <c r="E256" s="1288"/>
      <c r="F256" s="776"/>
      <c r="G256" s="776"/>
      <c r="H256" s="776"/>
      <c r="I256" s="776"/>
      <c r="J256" s="776"/>
      <c r="K256" s="776"/>
      <c r="L256" s="776"/>
      <c r="M256" s="776"/>
      <c r="N256" s="776"/>
      <c r="O256" s="776"/>
      <c r="P256" s="776"/>
      <c r="Q256" s="776"/>
      <c r="R256" s="777"/>
      <c r="T256" s="221"/>
      <c r="U256" s="241"/>
      <c r="V256" s="239"/>
      <c r="W256" s="167"/>
      <c r="X256" s="167"/>
      <c r="Y256" s="168"/>
      <c r="Z256" s="168"/>
      <c r="AA256" s="169"/>
      <c r="AB256" s="213"/>
      <c r="AD256" s="171"/>
      <c r="AE256" s="240"/>
      <c r="AF256" s="240"/>
      <c r="AG256" s="240"/>
      <c r="AI256" s="214"/>
      <c r="AJ256" s="172"/>
      <c r="AK256" s="172"/>
      <c r="AM256" s="1231"/>
      <c r="AN256" s="1231"/>
      <c r="AO256" s="1231"/>
      <c r="AP256" s="1231"/>
      <c r="AQ256" s="1231"/>
      <c r="AS256" s="1231"/>
      <c r="AT256" s="1231"/>
      <c r="AU256" s="1231"/>
      <c r="AV256" s="1231"/>
      <c r="AW256" s="1231"/>
      <c r="AY256" s="236"/>
      <c r="AZ256" s="236"/>
      <c r="BA256" s="236"/>
      <c r="BB256" s="236"/>
      <c r="BC256" s="236"/>
      <c r="BD256" s="236"/>
      <c r="BE256" s="1232"/>
      <c r="BF256" s="99"/>
      <c r="BG256" s="236"/>
      <c r="BH256" s="1232"/>
      <c r="BI256" s="1232"/>
      <c r="BJ256" s="1233"/>
      <c r="BK256" s="1232"/>
      <c r="BL256" s="99"/>
      <c r="BO256" s="99"/>
      <c r="BP256" s="167"/>
      <c r="BQ256" s="167"/>
      <c r="BR256" s="167"/>
      <c r="BS256" s="167"/>
      <c r="BT256" s="167"/>
      <c r="BW256" s="242" t="s">
        <v>1153</v>
      </c>
      <c r="BX256" s="242"/>
      <c r="BY256" s="242"/>
      <c r="BZ256" s="242"/>
      <c r="CA256" s="242"/>
      <c r="CB256" s="242"/>
    </row>
    <row r="257" spans="1:75" ht="15.75" thickBot="1" x14ac:dyDescent="0.3">
      <c r="A257" s="96">
        <v>249</v>
      </c>
      <c r="E257" s="1155"/>
      <c r="BO257" s="1147" t="s">
        <v>979</v>
      </c>
      <c r="BP257" s="1065"/>
      <c r="BQ257" s="1065"/>
      <c r="BR257" s="1182">
        <f>MIN(BR10:BR255)</f>
        <v>0</v>
      </c>
      <c r="BS257" s="1182">
        <f>MIN(BS10:BS255)</f>
        <v>0</v>
      </c>
      <c r="BT257" s="1182">
        <f>MIN(BT10:BT25)</f>
        <v>0</v>
      </c>
      <c r="BW257" s="96" t="s">
        <v>1154</v>
      </c>
    </row>
    <row r="258" spans="1:75" ht="15.75" thickBot="1" x14ac:dyDescent="0.3">
      <c r="A258" s="96">
        <v>250</v>
      </c>
      <c r="E258" s="242" t="s">
        <v>266</v>
      </c>
      <c r="F258" s="763">
        <f t="shared" ref="F258:R258" si="662">F36+F66+F97+F110+F123+F152+F166+F197+F214</f>
        <v>143</v>
      </c>
      <c r="G258" s="763">
        <f t="shared" si="662"/>
        <v>137</v>
      </c>
      <c r="H258" s="763">
        <f t="shared" si="662"/>
        <v>136</v>
      </c>
      <c r="I258" s="763">
        <f t="shared" si="662"/>
        <v>142</v>
      </c>
      <c r="J258" s="763">
        <f t="shared" si="662"/>
        <v>142</v>
      </c>
      <c r="K258" s="763">
        <f t="shared" si="662"/>
        <v>137</v>
      </c>
      <c r="L258" s="763">
        <f t="shared" si="662"/>
        <v>137</v>
      </c>
      <c r="M258" s="763">
        <f t="shared" si="662"/>
        <v>139</v>
      </c>
      <c r="N258" s="763">
        <f t="shared" si="662"/>
        <v>138</v>
      </c>
      <c r="O258" s="763">
        <f t="shared" si="662"/>
        <v>137</v>
      </c>
      <c r="P258" s="763">
        <f t="shared" si="662"/>
        <v>137</v>
      </c>
      <c r="Q258" s="763">
        <f t="shared" si="662"/>
        <v>142</v>
      </c>
      <c r="R258" s="763">
        <f t="shared" si="662"/>
        <v>142</v>
      </c>
      <c r="T258" s="96">
        <f>T36+T66+T97+T110+T123+T152+T166+T197+T214+T231</f>
        <v>153</v>
      </c>
      <c r="AA258" s="96">
        <f>Poeng_tot-Poeng_tilgj</f>
        <v>0</v>
      </c>
      <c r="AB258" s="96">
        <f>AB36+AB66+AB97+AB110+AB123+AB152+AB166+AB197+AB214+AB231</f>
        <v>153</v>
      </c>
      <c r="BE258" s="96" t="str">
        <f>VLOOKUP(BD259,$BO$284:$BW$290,9,FALSE)</f>
        <v>Unclassified &lt;30%</v>
      </c>
      <c r="BH258" s="96" t="str">
        <f>VLOOKUP(BG259,$BO$284:$BW$290,9,FALSE)</f>
        <v>Unclassified &lt;30%</v>
      </c>
      <c r="BK258" s="96" t="str">
        <f>VLOOKUP(BJ259,$BO$284:$BW$290,9,FALSE)</f>
        <v>Unclassified &lt;30%</v>
      </c>
      <c r="BR258" s="167" t="str">
        <f>IF(BR257=0,AD_no,AD_Yes)</f>
        <v>No</v>
      </c>
      <c r="BS258" s="167" t="str">
        <f>IF(BS257=0,AD_no,AD_Yes)</f>
        <v>No</v>
      </c>
      <c r="BT258" s="167" t="str">
        <f>IF(BT257=0,AD_no,AD_Yes)</f>
        <v>No</v>
      </c>
      <c r="BW258" s="96" t="s">
        <v>1156</v>
      </c>
    </row>
    <row r="259" spans="1:75" x14ac:dyDescent="0.25">
      <c r="AA259" s="96">
        <f>AA36+AA66+AA97+AA110+AA123+AA152+AA166+AA197+AA214+AA231</f>
        <v>0</v>
      </c>
      <c r="AI259" s="96" t="str">
        <f>AD_Yes</f>
        <v>Yes</v>
      </c>
      <c r="AX259" s="1366" t="s">
        <v>239</v>
      </c>
      <c r="AY259" s="1367"/>
      <c r="AZ259" s="1367"/>
      <c r="BA259" s="1367"/>
      <c r="BB259" s="1367"/>
      <c r="BC259" s="1368"/>
      <c r="BD259" s="243">
        <f>MIN(BD10:BD252)</f>
        <v>0</v>
      </c>
      <c r="BE259" s="84" t="str">
        <f>VLOOKUP(BD259,$BO$284:$BP$290,2,FALSE)</f>
        <v>Unclassified</v>
      </c>
      <c r="BF259" s="85">
        <f>VLOOKUP(BP_MinStandards,BQ262:BS267,2,FALSE)</f>
        <v>0</v>
      </c>
      <c r="BG259" s="243">
        <f>MIN(BG10:BG252)</f>
        <v>0</v>
      </c>
      <c r="BH259" s="84" t="str">
        <f>VLOOKUP(BG259,$BO$284:$BP$290,2,FALSE)</f>
        <v>Unclassified</v>
      </c>
      <c r="BI259" s="85">
        <f>VLOOKUP(BP_MinStandards_design,BQ262:BS267,2,FALSE)</f>
        <v>0</v>
      </c>
      <c r="BJ259" s="243">
        <f>MIN(BJ10:BJ252)</f>
        <v>0</v>
      </c>
      <c r="BK259" s="84" t="str">
        <f>VLOOKUP(BJ259,$BO$284:$BP$290,2,FALSE)</f>
        <v>Unclassified</v>
      </c>
      <c r="BL259" s="85">
        <f>VLOOKUP(BP_MinStandards_const,BQ262:BS267,2,FALSE)</f>
        <v>0</v>
      </c>
      <c r="BW259" s="96" t="s">
        <v>1158</v>
      </c>
    </row>
    <row r="260" spans="1:75" x14ac:dyDescent="0.25">
      <c r="D260" s="251"/>
      <c r="E260" s="251" t="s">
        <v>227</v>
      </c>
      <c r="F260" s="686"/>
      <c r="G260" s="686"/>
      <c r="H260" s="686"/>
      <c r="I260" s="686"/>
      <c r="J260" s="686"/>
      <c r="K260" s="686"/>
      <c r="L260" s="686"/>
      <c r="M260" s="686"/>
      <c r="N260" s="686"/>
      <c r="O260" s="686"/>
      <c r="P260" s="686"/>
      <c r="Q260" s="686"/>
      <c r="R260" s="686"/>
      <c r="AE260" s="96">
        <f>Man_cont_tot+Hea_cont_tot+Ene_cont_tot+Tra_cont_tot+Wat_cont_tot+Mat_cont_tot+Wst_cont_tot+LE_cont_tot+Pol_cont_tot+Inn_cont_tot</f>
        <v>0</v>
      </c>
      <c r="AI260" s="96" t="str">
        <f>AD_no</f>
        <v>No</v>
      </c>
      <c r="AX260" s="1342" t="s">
        <v>240</v>
      </c>
      <c r="AY260" s="1343"/>
      <c r="AZ260" s="1343"/>
      <c r="BA260" s="1343"/>
      <c r="BB260" s="1343"/>
      <c r="BC260" s="1344"/>
      <c r="BD260" s="239">
        <f>Man_Credits+Hea_Credits+Ene_Credits+Tra_Credits+Wat__Credits+Mat_Credits+Wst_Credits+LE_Credits+Pol_Credits+Inn_Credits</f>
        <v>153</v>
      </c>
      <c r="BE260" s="167"/>
      <c r="BF260" s="185"/>
      <c r="BG260" s="239">
        <f>Man_Credits+Hea_Credits+Ene_Credits+Tra_Credits+Wat__Credits+Mat_Credits+Wst_Credits+LE_Credits+Pol_Credits+Inn_Credits</f>
        <v>153</v>
      </c>
      <c r="BH260" s="167"/>
      <c r="BI260" s="185"/>
      <c r="BJ260" s="239">
        <f>Man_Credits+Hea_Credits+Ene_Credits+Tra_Credits+Wat__Credits+Mat_Credits+Wst_Credits+LE_Credits+Pol_Credits+Inn_Credits</f>
        <v>153</v>
      </c>
      <c r="BK260" s="167"/>
      <c r="BL260" s="185"/>
      <c r="BW260" s="96" t="s">
        <v>1159</v>
      </c>
    </row>
    <row r="261" spans="1:75" ht="15.75" thickBot="1" x14ac:dyDescent="0.3">
      <c r="E261" s="96" t="s">
        <v>699</v>
      </c>
      <c r="AX261" s="1342" t="s">
        <v>241</v>
      </c>
      <c r="AY261" s="1343"/>
      <c r="AZ261" s="1343"/>
      <c r="BA261" s="1343"/>
      <c r="BB261" s="1343"/>
      <c r="BC261" s="1344"/>
      <c r="BD261" s="239">
        <f>Achieved_initial</f>
        <v>0</v>
      </c>
      <c r="BE261" s="167"/>
      <c r="BF261" s="185"/>
      <c r="BG261" s="239">
        <f>Achieved_design</f>
        <v>0</v>
      </c>
      <c r="BH261" s="167"/>
      <c r="BI261" s="185"/>
      <c r="BJ261" s="239">
        <f>Achieved_const</f>
        <v>0</v>
      </c>
      <c r="BK261" s="167"/>
      <c r="BL261" s="185"/>
    </row>
    <row r="262" spans="1:75" ht="15.75" thickBot="1" x14ac:dyDescent="0.3">
      <c r="E262" s="96" t="s">
        <v>709</v>
      </c>
      <c r="N262" s="819"/>
      <c r="AX262" s="1346" t="s">
        <v>244</v>
      </c>
      <c r="AY262" s="1347"/>
      <c r="AZ262" s="1347"/>
      <c r="BA262" s="1347"/>
      <c r="BB262" s="1347"/>
      <c r="BC262" s="1348"/>
      <c r="BD262" s="88">
        <f>Score_Initial</f>
        <v>0</v>
      </c>
      <c r="BE262" s="86" t="str">
        <f>IF(BD262&gt;=BP267,BQ267,IF(BD262&gt;=BP266,BQ266,IF(BD262&gt;=BP265,BQ265,IF(BD262&gt;=BP264,BQ264,IF(BD262&gt;=BP263,BQ263,BQ262)))))</f>
        <v>Unclassified</v>
      </c>
      <c r="BF262" s="87">
        <f>VLOOKUP(BE262,BQ262:BS267,2,FALSE)</f>
        <v>0</v>
      </c>
      <c r="BG262" s="88">
        <f>Score_design</f>
        <v>0</v>
      </c>
      <c r="BH262" s="86" t="str">
        <f>IF(BG262&gt;=BP267,BQ267,IF(BG262&gt;=BP266,BQ266,IF(BG262&gt;=BP265,BQ265,IF(BG262&gt;=BP264,BQ264,IF(BG262&gt;=BP263,BQ263,BQ262)))))</f>
        <v>Unclassified</v>
      </c>
      <c r="BI262" s="87">
        <f>VLOOKUP(BH262,BQ262:BS267,2,FALSE)</f>
        <v>0</v>
      </c>
      <c r="BJ262" s="88">
        <f>Score_const</f>
        <v>0</v>
      </c>
      <c r="BK262" s="86" t="str">
        <f>IF(BJ262&gt;=BP267,BQ267,IF(BJ262&gt;=BP266,BQ266,IF(BJ262&gt;=BP265,BQ265,IF(BJ262&gt;=BP264,BQ264,IF(BJ262&gt;=BP263,BQ263,BQ262)))))</f>
        <v>Unclassified</v>
      </c>
      <c r="BL262" s="87">
        <f>VLOOKUP(BK262,BQ262:BS267,2,FALSE)</f>
        <v>0</v>
      </c>
      <c r="BO262" s="244" t="s">
        <v>243</v>
      </c>
      <c r="BP262" s="245">
        <v>0</v>
      </c>
      <c r="BQ262" s="246" t="s">
        <v>73</v>
      </c>
      <c r="BR262" s="247">
        <v>0</v>
      </c>
      <c r="BT262" s="96" t="s">
        <v>73</v>
      </c>
      <c r="BU262" s="96" t="s">
        <v>827</v>
      </c>
    </row>
    <row r="263" spans="1:75" ht="15.75" thickBot="1" x14ac:dyDescent="0.3">
      <c r="E263" s="96" t="s">
        <v>1045</v>
      </c>
      <c r="N263" s="819"/>
      <c r="AX263" s="130"/>
      <c r="AY263" s="130"/>
      <c r="AZ263" s="130"/>
      <c r="BA263" s="130"/>
      <c r="BB263" s="130"/>
      <c r="BC263" s="130"/>
      <c r="BD263" s="130"/>
      <c r="BE263" s="130"/>
      <c r="BO263" s="248" t="s">
        <v>242</v>
      </c>
      <c r="BP263" s="249">
        <v>0.3</v>
      </c>
      <c r="BQ263" s="99" t="s">
        <v>75</v>
      </c>
      <c r="BR263" s="250">
        <v>1</v>
      </c>
      <c r="BT263" s="96" t="s">
        <v>75</v>
      </c>
      <c r="BU263" s="96" t="s">
        <v>88</v>
      </c>
    </row>
    <row r="264" spans="1:75" ht="15.75" thickBot="1" x14ac:dyDescent="0.3">
      <c r="E264" s="96" t="s">
        <v>990</v>
      </c>
      <c r="L264" s="819"/>
      <c r="N264" s="819"/>
      <c r="AX264" s="252" t="s">
        <v>245</v>
      </c>
      <c r="AY264" s="253"/>
      <c r="AZ264" s="253"/>
      <c r="BA264" s="253"/>
      <c r="BB264" s="253"/>
      <c r="BC264" s="254"/>
      <c r="BD264" s="255" t="s">
        <v>246</v>
      </c>
      <c r="BE264" s="63" t="str">
        <f>IF(BF264=1,(BP_MinStandards&amp;"*"),BE262)</f>
        <v>Unclassified</v>
      </c>
      <c r="BF264" s="62">
        <f>IF(BF259&lt;BF262,1,0)</f>
        <v>0</v>
      </c>
      <c r="BH264" s="63" t="str">
        <f>IF(BI264=1,(BP_MinStandards_design&amp;"*"),BH262)</f>
        <v>Unclassified</v>
      </c>
      <c r="BI264" s="62">
        <f>IF(BI259&lt;BI262,1,0)</f>
        <v>0</v>
      </c>
      <c r="BK264" s="63" t="str">
        <f>IF(BL264=1,(BP_MinStandards_const&amp;"*"),BK262)</f>
        <v>Unclassified</v>
      </c>
      <c r="BL264" s="62">
        <f>IF(BL259&lt;BL262,1,0)</f>
        <v>0</v>
      </c>
      <c r="BO264" s="248" t="s">
        <v>242</v>
      </c>
      <c r="BP264" s="249">
        <v>0.45</v>
      </c>
      <c r="BQ264" s="99" t="s">
        <v>76</v>
      </c>
      <c r="BR264" s="250">
        <v>2</v>
      </c>
      <c r="BT264" s="96" t="s">
        <v>76</v>
      </c>
      <c r="BU264" s="96" t="s">
        <v>89</v>
      </c>
    </row>
    <row r="265" spans="1:75" x14ac:dyDescent="0.25">
      <c r="E265" s="96" t="s">
        <v>700</v>
      </c>
      <c r="L265" s="819" t="s">
        <v>579</v>
      </c>
      <c r="T265" s="96">
        <f>IF(OR(AI74&lt;&gt;AB74,Ene02_user&lt;&gt;Ene02_credits),0,1)</f>
        <v>0</v>
      </c>
      <c r="BO265" s="248" t="s">
        <v>242</v>
      </c>
      <c r="BP265" s="249">
        <v>0.55000000000000004</v>
      </c>
      <c r="BQ265" s="99" t="s">
        <v>77</v>
      </c>
      <c r="BR265" s="250">
        <v>3</v>
      </c>
      <c r="BT265" s="96" t="s">
        <v>77</v>
      </c>
      <c r="BU265" s="96" t="s">
        <v>90</v>
      </c>
    </row>
    <row r="266" spans="1:75" x14ac:dyDescent="0.25">
      <c r="E266" s="96" t="s">
        <v>710</v>
      </c>
      <c r="L266" s="819" t="s">
        <v>580</v>
      </c>
      <c r="AX266" s="96" t="s">
        <v>247</v>
      </c>
      <c r="BO266" s="248" t="s">
        <v>242</v>
      </c>
      <c r="BP266" s="249">
        <v>0.7</v>
      </c>
      <c r="BQ266" s="99" t="s">
        <v>78</v>
      </c>
      <c r="BR266" s="250">
        <v>4</v>
      </c>
      <c r="BT266" s="96" t="s">
        <v>78</v>
      </c>
      <c r="BU266" s="96" t="s">
        <v>236</v>
      </c>
    </row>
    <row r="267" spans="1:75" ht="15.75" thickBot="1" x14ac:dyDescent="0.3">
      <c r="E267" s="96" t="s">
        <v>701</v>
      </c>
      <c r="L267" s="819" t="s">
        <v>581</v>
      </c>
      <c r="BE267" s="260" t="str">
        <f>IF(BF264=1,AX266,"")</f>
        <v/>
      </c>
      <c r="BH267" s="260" t="str">
        <f>IF(BI264=1,AX266,"")</f>
        <v/>
      </c>
      <c r="BK267" s="260" t="str">
        <f>IF(BL264=1,AX266,"")</f>
        <v/>
      </c>
      <c r="BO267" s="256" t="s">
        <v>242</v>
      </c>
      <c r="BP267" s="257">
        <v>0.85</v>
      </c>
      <c r="BQ267" s="258" t="s">
        <v>79</v>
      </c>
      <c r="BR267" s="259">
        <v>5</v>
      </c>
      <c r="BT267" s="96" t="s">
        <v>79</v>
      </c>
      <c r="BU267" s="96" t="s">
        <v>91</v>
      </c>
    </row>
    <row r="268" spans="1:75" x14ac:dyDescent="0.25">
      <c r="E268" s="96" t="s">
        <v>702</v>
      </c>
      <c r="L268" s="819"/>
    </row>
    <row r="269" spans="1:75" x14ac:dyDescent="0.25">
      <c r="E269" s="96" t="s">
        <v>703</v>
      </c>
      <c r="L269" s="819" t="s">
        <v>585</v>
      </c>
      <c r="AX269" s="96" t="str">
        <f>"* = "&amp;AX266</f>
        <v>* = The rating has been limited to the min. standards level achieved</v>
      </c>
    </row>
    <row r="270" spans="1:75" x14ac:dyDescent="0.25">
      <c r="E270" s="96" t="s">
        <v>704</v>
      </c>
      <c r="L270" s="819" t="s">
        <v>582</v>
      </c>
    </row>
    <row r="271" spans="1:75" x14ac:dyDescent="0.25">
      <c r="E271" s="96" t="s">
        <v>705</v>
      </c>
      <c r="L271" s="819"/>
    </row>
    <row r="272" spans="1:75" x14ac:dyDescent="0.25">
      <c r="E272" s="96" t="s">
        <v>706</v>
      </c>
      <c r="L272" s="819" t="s">
        <v>583</v>
      </c>
    </row>
    <row r="273" spans="3:75" x14ac:dyDescent="0.25">
      <c r="E273" s="96" t="s">
        <v>707</v>
      </c>
      <c r="L273" s="819" t="s">
        <v>584</v>
      </c>
    </row>
    <row r="274" spans="3:75" x14ac:dyDescent="0.25">
      <c r="E274" s="96" t="s">
        <v>708</v>
      </c>
      <c r="L274" s="819"/>
    </row>
    <row r="275" spans="3:75" x14ac:dyDescent="0.25">
      <c r="E275" s="96" t="s">
        <v>315</v>
      </c>
      <c r="L275" s="819"/>
    </row>
    <row r="276" spans="3:75" x14ac:dyDescent="0.25">
      <c r="L276" s="819" t="s">
        <v>1046</v>
      </c>
    </row>
    <row r="277" spans="3:75" ht="45" x14ac:dyDescent="0.25">
      <c r="D277" s="96" t="s">
        <v>12</v>
      </c>
      <c r="E277" s="96" t="s">
        <v>313</v>
      </c>
      <c r="F277" s="763" t="s">
        <v>998</v>
      </c>
    </row>
    <row r="278" spans="3:75" ht="45" x14ac:dyDescent="0.25">
      <c r="D278" s="96" t="s">
        <v>13</v>
      </c>
      <c r="E278" s="96" t="s">
        <v>313</v>
      </c>
      <c r="F278" s="763" t="s">
        <v>999</v>
      </c>
    </row>
    <row r="281" spans="3:75" x14ac:dyDescent="0.25">
      <c r="C281" s="242" t="s">
        <v>175</v>
      </c>
      <c r="D281" s="242" t="s">
        <v>1076</v>
      </c>
      <c r="E281" s="1123" t="s">
        <v>996</v>
      </c>
      <c r="AI281" s="96">
        <f>'Pre-Assessment Estimator'!G134</f>
        <v>0</v>
      </c>
      <c r="AJ281" s="96">
        <f>'Pre-Assessment Estimator'!N134</f>
        <v>0</v>
      </c>
      <c r="AK281" s="96">
        <f>'Pre-Assessment Estimator'!U134</f>
        <v>0</v>
      </c>
    </row>
    <row r="284" spans="3:75" x14ac:dyDescent="0.25">
      <c r="BN284" s="96" t="s">
        <v>79</v>
      </c>
      <c r="BO284" s="96">
        <v>5</v>
      </c>
      <c r="BP284" s="96" t="s">
        <v>79</v>
      </c>
      <c r="BR284" s="96" t="s">
        <v>828</v>
      </c>
      <c r="BT284" s="96" t="s">
        <v>79</v>
      </c>
      <c r="BU284" s="96" t="s">
        <v>91</v>
      </c>
      <c r="BW284" s="96" t="s">
        <v>1165</v>
      </c>
    </row>
    <row r="285" spans="3:75" x14ac:dyDescent="0.25">
      <c r="BN285" s="96" t="s">
        <v>78</v>
      </c>
      <c r="BO285" s="96">
        <v>4</v>
      </c>
      <c r="BP285" s="96" t="s">
        <v>78</v>
      </c>
      <c r="BR285" s="96" t="s">
        <v>829</v>
      </c>
      <c r="BT285" s="96" t="s">
        <v>78</v>
      </c>
      <c r="BU285" s="96" t="s">
        <v>236</v>
      </c>
      <c r="BW285" s="96" t="s">
        <v>1166</v>
      </c>
    </row>
    <row r="286" spans="3:75" x14ac:dyDescent="0.25">
      <c r="BN286" s="96" t="s">
        <v>77</v>
      </c>
      <c r="BO286" s="96">
        <v>3</v>
      </c>
      <c r="BP286" s="96" t="s">
        <v>77</v>
      </c>
      <c r="BR286" s="96" t="s">
        <v>830</v>
      </c>
      <c r="BT286" s="96" t="s">
        <v>77</v>
      </c>
      <c r="BU286" s="96" t="s">
        <v>90</v>
      </c>
      <c r="BW286" s="96" t="s">
        <v>1167</v>
      </c>
    </row>
    <row r="287" spans="3:75" x14ac:dyDescent="0.25">
      <c r="BN287" s="96" t="s">
        <v>76</v>
      </c>
      <c r="BO287" s="96">
        <v>2</v>
      </c>
      <c r="BP287" s="96" t="s">
        <v>76</v>
      </c>
      <c r="BR287" s="96" t="s">
        <v>76</v>
      </c>
      <c r="BT287" s="96" t="s">
        <v>76</v>
      </c>
      <c r="BU287" s="96" t="s">
        <v>89</v>
      </c>
      <c r="BW287" s="96" t="s">
        <v>1168</v>
      </c>
    </row>
    <row r="288" spans="3:75" x14ac:dyDescent="0.25">
      <c r="BN288" s="96" t="s">
        <v>75</v>
      </c>
      <c r="BO288" s="96">
        <v>1</v>
      </c>
      <c r="BP288" s="96" t="s">
        <v>75</v>
      </c>
      <c r="BR288" s="96" t="s">
        <v>75</v>
      </c>
      <c r="BT288" s="96" t="s">
        <v>75</v>
      </c>
      <c r="BU288" s="96" t="s">
        <v>88</v>
      </c>
      <c r="BW288" s="96" t="s">
        <v>1169</v>
      </c>
    </row>
    <row r="289" spans="4:75" x14ac:dyDescent="0.25">
      <c r="BN289" s="96" t="s">
        <v>73</v>
      </c>
      <c r="BO289" s="96">
        <v>0</v>
      </c>
      <c r="BP289" s="96" t="s">
        <v>73</v>
      </c>
      <c r="BR289" s="96" t="s">
        <v>73</v>
      </c>
      <c r="BT289" s="96" t="s">
        <v>73</v>
      </c>
      <c r="BU289" s="96" t="s">
        <v>827</v>
      </c>
      <c r="BW289" s="96" t="s">
        <v>1170</v>
      </c>
    </row>
    <row r="290" spans="4:75" x14ac:dyDescent="0.25">
      <c r="BN290" s="96" t="s">
        <v>14</v>
      </c>
      <c r="BO290" s="96">
        <v>9</v>
      </c>
      <c r="BP290" s="96" t="s">
        <v>14</v>
      </c>
      <c r="BR290" s="96" t="s">
        <v>14</v>
      </c>
      <c r="BT290" s="96" t="s">
        <v>14</v>
      </c>
      <c r="BU290" s="96" t="s">
        <v>14</v>
      </c>
      <c r="BW290" s="96" t="s">
        <v>14</v>
      </c>
    </row>
    <row r="291" spans="4:75" ht="15.75" thickBot="1" x14ac:dyDescent="0.3">
      <c r="E291" s="667">
        <v>1</v>
      </c>
      <c r="F291" s="780">
        <v>2</v>
      </c>
      <c r="G291" s="780">
        <v>3</v>
      </c>
      <c r="H291" s="780">
        <v>4</v>
      </c>
    </row>
    <row r="292" spans="4:75" ht="15.75" thickBot="1" x14ac:dyDescent="0.3">
      <c r="D292" s="145"/>
      <c r="E292" s="658" t="s">
        <v>412</v>
      </c>
      <c r="F292" s="781" t="s">
        <v>418</v>
      </c>
      <c r="G292" s="781" t="s">
        <v>420</v>
      </c>
      <c r="H292" s="782" t="s">
        <v>421</v>
      </c>
    </row>
    <row r="293" spans="4:75" ht="15.75" thickBot="1" x14ac:dyDescent="0.3">
      <c r="D293" s="163" t="s">
        <v>413</v>
      </c>
      <c r="E293" s="655" t="str">
        <f>'Pre-Assessment Estimator'!AK38</f>
        <v>O1: Glare ctrl/artificial light</v>
      </c>
      <c r="F293" s="783">
        <v>0</v>
      </c>
      <c r="G293" s="783" t="s">
        <v>419</v>
      </c>
      <c r="H293" s="784"/>
    </row>
    <row r="294" spans="4:75" ht="15.75" thickBot="1" x14ac:dyDescent="0.3">
      <c r="D294" s="166" t="s">
        <v>413</v>
      </c>
      <c r="E294" s="70" t="str">
        <f>'Pre-Assessment Estimator'!AL38</f>
        <v>O2: Glare control (-0,5 c)</v>
      </c>
      <c r="F294" s="785">
        <v>-0.5</v>
      </c>
      <c r="G294" s="785" t="s">
        <v>419</v>
      </c>
      <c r="H294" s="786"/>
      <c r="BI294" s="152" t="s">
        <v>281</v>
      </c>
      <c r="BJ294" s="152" t="s">
        <v>282</v>
      </c>
      <c r="BK294" s="153" t="s">
        <v>1</v>
      </c>
      <c r="BP294" s="151" t="s">
        <v>283</v>
      </c>
      <c r="BQ294" s="152" t="s">
        <v>86</v>
      </c>
      <c r="BR294" s="152" t="s">
        <v>281</v>
      </c>
      <c r="BS294" s="152" t="s">
        <v>282</v>
      </c>
      <c r="BT294" s="153" t="s">
        <v>1</v>
      </c>
    </row>
    <row r="295" spans="4:75" x14ac:dyDescent="0.25">
      <c r="D295" s="166" t="s">
        <v>413</v>
      </c>
      <c r="E295" s="70" t="str">
        <f>'Pre-Assessment Estimator'!AM38</f>
        <v>O2: Artificial lighting (-0,5 c)</v>
      </c>
      <c r="F295" s="785">
        <v>-0.5</v>
      </c>
      <c r="G295" s="785" t="s">
        <v>419</v>
      </c>
      <c r="H295" s="786"/>
      <c r="BH295" s="1183" t="s">
        <v>711</v>
      </c>
      <c r="BI295" s="99">
        <f t="shared" ref="BI295:BI327" si="663">VLOOKUP($BH295,$B$10:$BK$252,BD$1,FALSE)</f>
        <v>3</v>
      </c>
      <c r="BJ295" s="99">
        <f t="shared" ref="BJ295:BJ327" si="664">VLOOKUP($BH295,$B$10:$BK$252,BG$1,FALSE)</f>
        <v>3</v>
      </c>
      <c r="BK295" s="99">
        <f t="shared" ref="BK295:BK327" si="665">VLOOKUP($BH295,$B$10:$BK$252,BJ$1,FALSE)</f>
        <v>3</v>
      </c>
      <c r="BP295" s="313" t="s">
        <v>546</v>
      </c>
      <c r="BQ295" s="177" t="s">
        <v>92</v>
      </c>
      <c r="BR295" s="177">
        <f>MIN(BI295:BI296)</f>
        <v>3</v>
      </c>
      <c r="BS295" s="177">
        <f t="shared" ref="BS295:BT295" si="666">MIN(BJ295:BJ296)</f>
        <v>3</v>
      </c>
      <c r="BT295" s="177">
        <f t="shared" si="666"/>
        <v>3</v>
      </c>
    </row>
    <row r="296" spans="4:75" ht="15.75" thickBot="1" x14ac:dyDescent="0.3">
      <c r="D296" s="166" t="s">
        <v>413</v>
      </c>
      <c r="E296" s="656" t="str">
        <f>'Pre-Assessment Estimator'!AN38</f>
        <v>O2: Glare ctrl &amp; artif light (-1,0 c)</v>
      </c>
      <c r="F296" s="785">
        <v>-1</v>
      </c>
      <c r="G296" s="785" t="s">
        <v>419</v>
      </c>
      <c r="H296" s="786"/>
      <c r="BH296" s="1184" t="s">
        <v>712</v>
      </c>
      <c r="BI296" s="258">
        <f t="shared" si="663"/>
        <v>3</v>
      </c>
      <c r="BJ296" s="258">
        <f t="shared" si="664"/>
        <v>3</v>
      </c>
      <c r="BK296" s="258">
        <f t="shared" si="665"/>
        <v>3</v>
      </c>
      <c r="BP296" s="166" t="s">
        <v>548</v>
      </c>
      <c r="BQ296" s="167" t="s">
        <v>94</v>
      </c>
      <c r="BR296" s="167">
        <f>MIN(BI297:BI299)</f>
        <v>0</v>
      </c>
      <c r="BS296" s="167">
        <f t="shared" ref="BS296:BT296" si="667">MIN(BJ297:BJ299)</f>
        <v>0</v>
      </c>
      <c r="BT296" s="167">
        <f t="shared" si="667"/>
        <v>0</v>
      </c>
    </row>
    <row r="297" spans="4:75" x14ac:dyDescent="0.25">
      <c r="D297" s="166" t="s">
        <v>413</v>
      </c>
      <c r="E297" s="655" t="str">
        <f>'Pre-Assessment Estimator'!AO38</f>
        <v>O3: Glare ctrl/artif lighting</v>
      </c>
      <c r="F297" s="785">
        <v>0</v>
      </c>
      <c r="G297" s="785" t="s">
        <v>419</v>
      </c>
      <c r="H297" s="786"/>
      <c r="BH297" s="681" t="s">
        <v>720</v>
      </c>
      <c r="BI297" s="96">
        <f t="shared" si="663"/>
        <v>0</v>
      </c>
      <c r="BJ297" s="96">
        <f t="shared" si="664"/>
        <v>0</v>
      </c>
      <c r="BK297" s="96">
        <f t="shared" si="665"/>
        <v>0</v>
      </c>
      <c r="BP297" s="166" t="s">
        <v>95</v>
      </c>
      <c r="BQ297" s="167" t="s">
        <v>95</v>
      </c>
      <c r="BR297" s="167">
        <f>MIN(BI300:BI301)</f>
        <v>0</v>
      </c>
      <c r="BS297" s="167">
        <f t="shared" ref="BS297:BT297" si="668">MIN(BJ300:BJ301)</f>
        <v>0</v>
      </c>
      <c r="BT297" s="167">
        <f t="shared" si="668"/>
        <v>0</v>
      </c>
    </row>
    <row r="298" spans="4:75" ht="15.75" thickBot="1" x14ac:dyDescent="0.3">
      <c r="D298" s="229" t="s">
        <v>413</v>
      </c>
      <c r="E298" s="656" t="str">
        <f>'Pre-Assessment Estimator'!AP38</f>
        <v>Glare ctrl/artif lighting N/A</v>
      </c>
      <c r="F298" s="787">
        <v>0</v>
      </c>
      <c r="G298" s="787" t="s">
        <v>419</v>
      </c>
      <c r="H298" s="788">
        <v>2</v>
      </c>
      <c r="BH298" s="681" t="s">
        <v>721</v>
      </c>
      <c r="BI298" s="96">
        <f t="shared" si="663"/>
        <v>2</v>
      </c>
      <c r="BJ298" s="96">
        <f t="shared" si="664"/>
        <v>2</v>
      </c>
      <c r="BK298" s="96">
        <f t="shared" si="665"/>
        <v>2</v>
      </c>
      <c r="BP298" s="166" t="s">
        <v>558</v>
      </c>
      <c r="BQ298" s="167" t="str">
        <f>IF(E6=H9,"","Man 05")</f>
        <v>Man 05</v>
      </c>
      <c r="BR298" s="167">
        <f>MIN(BI302)</f>
        <v>3</v>
      </c>
      <c r="BS298" s="167">
        <f t="shared" ref="BS298:BT298" si="669">MIN(BJ302)</f>
        <v>3</v>
      </c>
      <c r="BT298" s="167">
        <f t="shared" si="669"/>
        <v>3</v>
      </c>
      <c r="BU298" s="223" t="s">
        <v>572</v>
      </c>
    </row>
    <row r="299" spans="4:75" ht="15.75" thickBot="1" x14ac:dyDescent="0.3">
      <c r="D299" s="163" t="s">
        <v>414</v>
      </c>
      <c r="E299" s="655" t="str">
        <f>'Pre-Assessment Estimator'!AK46</f>
        <v>O1: VOC</v>
      </c>
      <c r="F299" s="783">
        <v>0</v>
      </c>
      <c r="G299" s="783" t="s">
        <v>419</v>
      </c>
      <c r="H299" s="784"/>
      <c r="BH299" s="1184" t="s">
        <v>911</v>
      </c>
      <c r="BI299" s="258">
        <f t="shared" si="663"/>
        <v>3</v>
      </c>
      <c r="BJ299" s="258">
        <f t="shared" si="664"/>
        <v>3</v>
      </c>
      <c r="BK299" s="258">
        <f t="shared" si="665"/>
        <v>3</v>
      </c>
      <c r="BP299" s="166" t="s">
        <v>862</v>
      </c>
      <c r="BQ299" s="96" t="s">
        <v>117</v>
      </c>
      <c r="BR299" s="167">
        <f>MIN(BI303)</f>
        <v>0</v>
      </c>
      <c r="BS299" s="167">
        <f>MIN(BJ303)</f>
        <v>0</v>
      </c>
      <c r="BT299" s="167">
        <f>MIN(BK303)</f>
        <v>0</v>
      </c>
    </row>
    <row r="300" spans="4:75" x14ac:dyDescent="0.25">
      <c r="D300" s="166" t="s">
        <v>414</v>
      </c>
      <c r="E300" s="70" t="str">
        <f>'Pre-Assessment Estimator'!AL46</f>
        <v>O2: VOC (AC 6-7: -0,5 c)</v>
      </c>
      <c r="F300" s="785">
        <v>-0.5</v>
      </c>
      <c r="G300" s="785" t="s">
        <v>419</v>
      </c>
      <c r="H300" s="786"/>
      <c r="BH300" s="681" t="s">
        <v>722</v>
      </c>
      <c r="BI300" s="96">
        <f t="shared" si="663"/>
        <v>0</v>
      </c>
      <c r="BJ300" s="96">
        <f t="shared" si="664"/>
        <v>0</v>
      </c>
      <c r="BK300" s="96">
        <f t="shared" si="665"/>
        <v>0</v>
      </c>
      <c r="BP300" s="166" t="s">
        <v>542</v>
      </c>
      <c r="BQ300" s="167" t="s">
        <v>118</v>
      </c>
      <c r="BR300" s="167">
        <f>MIN(BI304:BI305)</f>
        <v>0</v>
      </c>
      <c r="BS300" s="167">
        <f>MIN(BJ304:BJ305)</f>
        <v>0</v>
      </c>
      <c r="BT300" s="167">
        <f>MIN(BK304:BK305)</f>
        <v>0</v>
      </c>
    </row>
    <row r="301" spans="4:75" ht="15.75" thickBot="1" x14ac:dyDescent="0.3">
      <c r="D301" s="166" t="s">
        <v>414</v>
      </c>
      <c r="E301" s="70" t="str">
        <f>'Pre-Assessment Estimator'!AM46</f>
        <v>O2: VOC (AC 8-9: -1,0 c)</v>
      </c>
      <c r="F301" s="785">
        <v>-1</v>
      </c>
      <c r="G301" s="785" t="s">
        <v>419</v>
      </c>
      <c r="H301" s="786"/>
      <c r="BH301" s="1184" t="s">
        <v>724</v>
      </c>
      <c r="BI301" s="258">
        <f t="shared" si="663"/>
        <v>2</v>
      </c>
      <c r="BJ301" s="258">
        <f t="shared" si="664"/>
        <v>2</v>
      </c>
      <c r="BK301" s="258">
        <f t="shared" si="665"/>
        <v>2</v>
      </c>
      <c r="BP301" s="166" t="s">
        <v>573</v>
      </c>
      <c r="BQ301" s="167" t="s">
        <v>135</v>
      </c>
      <c r="BR301" s="167">
        <f>MIN(BI306)</f>
        <v>3</v>
      </c>
      <c r="BS301" s="167">
        <f t="shared" ref="BS301:BT301" si="670">MIN(BJ306)</f>
        <v>3</v>
      </c>
      <c r="BT301" s="167">
        <f t="shared" si="670"/>
        <v>3</v>
      </c>
      <c r="BU301" s="223"/>
    </row>
    <row r="302" spans="4:75" ht="15.75" thickBot="1" x14ac:dyDescent="0.3">
      <c r="D302" s="166" t="s">
        <v>414</v>
      </c>
      <c r="E302" s="70" t="str">
        <f>'Pre-Assessment Estimator'!AN46</f>
        <v>O3: VOC</v>
      </c>
      <c r="F302" s="785">
        <v>0</v>
      </c>
      <c r="G302" s="785" t="s">
        <v>419</v>
      </c>
      <c r="H302" s="786"/>
      <c r="BH302" s="1185" t="s">
        <v>726</v>
      </c>
      <c r="BI302" s="1065">
        <f t="shared" si="663"/>
        <v>3</v>
      </c>
      <c r="BJ302" s="1065">
        <f t="shared" si="664"/>
        <v>3</v>
      </c>
      <c r="BK302" s="1065">
        <f t="shared" si="665"/>
        <v>3</v>
      </c>
      <c r="BP302" s="188" t="s">
        <v>947</v>
      </c>
      <c r="BQ302" s="167" t="s">
        <v>141</v>
      </c>
      <c r="BR302" s="167">
        <f>MIN(BI307)</f>
        <v>0</v>
      </c>
      <c r="BS302" s="167">
        <f t="shared" ref="BS302:BT302" si="671">MIN(BJ307)</f>
        <v>0</v>
      </c>
      <c r="BT302" s="167">
        <f t="shared" si="671"/>
        <v>0</v>
      </c>
    </row>
    <row r="303" spans="4:75" ht="15.75" thickBot="1" x14ac:dyDescent="0.3">
      <c r="D303" s="192" t="s">
        <v>414</v>
      </c>
      <c r="E303" s="660" t="str">
        <f>'Pre-Assessment Estimator'!AO46</f>
        <v>VOC N/A</v>
      </c>
      <c r="F303" s="789">
        <v>0</v>
      </c>
      <c r="G303" s="789" t="s">
        <v>419</v>
      </c>
      <c r="H303" s="790">
        <v>5</v>
      </c>
      <c r="BH303" s="1185" t="s">
        <v>728</v>
      </c>
      <c r="BI303" s="1065">
        <f t="shared" si="663"/>
        <v>0</v>
      </c>
      <c r="BJ303" s="1065">
        <f t="shared" si="664"/>
        <v>0</v>
      </c>
      <c r="BK303" s="1065">
        <f t="shared" si="665"/>
        <v>0</v>
      </c>
      <c r="BP303" s="188" t="s">
        <v>550</v>
      </c>
      <c r="BQ303" s="167" t="s">
        <v>147</v>
      </c>
      <c r="BR303" s="167">
        <f>MIN(BI308)</f>
        <v>3</v>
      </c>
      <c r="BS303" s="167">
        <f t="shared" ref="BS303:BT303" si="672">MIN(BJ308)</f>
        <v>3</v>
      </c>
      <c r="BT303" s="167">
        <f t="shared" si="672"/>
        <v>3</v>
      </c>
      <c r="BU303" s="223"/>
    </row>
    <row r="304" spans="4:75" x14ac:dyDescent="0.25">
      <c r="D304" s="313" t="s">
        <v>415</v>
      </c>
      <c r="E304" s="659" t="str">
        <f>'Pre-Assessment Estimator'!AK73</f>
        <v>O1: Sub-metering</v>
      </c>
      <c r="F304" s="791">
        <v>0</v>
      </c>
      <c r="G304" s="791" t="s">
        <v>419</v>
      </c>
      <c r="H304" s="792"/>
      <c r="BH304" s="1187" t="s">
        <v>733</v>
      </c>
      <c r="BI304" s="246">
        <f t="shared" si="663"/>
        <v>0</v>
      </c>
      <c r="BJ304" s="246">
        <f t="shared" si="664"/>
        <v>0</v>
      </c>
      <c r="BK304" s="246">
        <f t="shared" si="665"/>
        <v>0</v>
      </c>
      <c r="BP304" s="166" t="s">
        <v>169</v>
      </c>
      <c r="BQ304" s="167" t="s">
        <v>169</v>
      </c>
      <c r="BR304" s="167">
        <f>MIN(BI309)</f>
        <v>3</v>
      </c>
      <c r="BS304" s="167">
        <f t="shared" ref="BS304:BT304" si="673">MIN(BJ309)</f>
        <v>3</v>
      </c>
      <c r="BT304" s="167">
        <f t="shared" si="673"/>
        <v>3</v>
      </c>
      <c r="BU304" s="223"/>
    </row>
    <row r="305" spans="4:72" ht="15.75" thickBot="1" x14ac:dyDescent="0.3">
      <c r="D305" s="166" t="s">
        <v>415</v>
      </c>
      <c r="E305" s="70" t="str">
        <f>'Pre-Assessment Estimator'!AL73</f>
        <v>O2: Sub-met. (AC 1-3: -0,5 c)</v>
      </c>
      <c r="F305" s="785">
        <v>-0.5</v>
      </c>
      <c r="G305" s="785" t="s">
        <v>419</v>
      </c>
      <c r="H305" s="786"/>
      <c r="BH305" s="1184" t="s">
        <v>735</v>
      </c>
      <c r="BI305" s="258">
        <f t="shared" si="663"/>
        <v>2</v>
      </c>
      <c r="BJ305" s="258">
        <f t="shared" si="664"/>
        <v>2</v>
      </c>
      <c r="BK305" s="258">
        <f t="shared" si="665"/>
        <v>2</v>
      </c>
      <c r="BP305" s="166" t="s">
        <v>4</v>
      </c>
      <c r="BQ305" s="167" t="s">
        <v>173</v>
      </c>
      <c r="BR305" s="167">
        <f>MIN(BI310:BI311)</f>
        <v>0</v>
      </c>
      <c r="BS305" s="167">
        <f t="shared" ref="BS305:BT305" si="674">MIN(BJ310:BJ311)</f>
        <v>0</v>
      </c>
      <c r="BT305" s="167">
        <f t="shared" si="674"/>
        <v>0</v>
      </c>
    </row>
    <row r="306" spans="4:72" ht="15.75" thickBot="1" x14ac:dyDescent="0.3">
      <c r="D306" s="166" t="s">
        <v>415</v>
      </c>
      <c r="E306" s="70" t="str">
        <f>'Pre-Assessment Estimator'!AM73</f>
        <v>O2: Sub-met. (AC 4-7: -1,0 c)</v>
      </c>
      <c r="F306" s="785">
        <v>-1</v>
      </c>
      <c r="G306" s="785" t="s">
        <v>419</v>
      </c>
      <c r="H306" s="786"/>
      <c r="BH306" s="1185" t="s">
        <v>748</v>
      </c>
      <c r="BI306" s="1065">
        <f t="shared" si="663"/>
        <v>3</v>
      </c>
      <c r="BJ306" s="1065">
        <f t="shared" si="664"/>
        <v>3</v>
      </c>
      <c r="BK306" s="1065">
        <f t="shared" si="665"/>
        <v>3</v>
      </c>
      <c r="BP306" s="166" t="s">
        <v>951</v>
      </c>
      <c r="BQ306" s="167" t="s">
        <v>478</v>
      </c>
      <c r="BR306" s="167">
        <f>MIN(BI312)</f>
        <v>0</v>
      </c>
      <c r="BS306" s="167">
        <f t="shared" ref="BS306:BT306" si="675">MIN(BJ312)</f>
        <v>0</v>
      </c>
      <c r="BT306" s="167">
        <f t="shared" si="675"/>
        <v>0</v>
      </c>
    </row>
    <row r="307" spans="4:72" ht="15.75" thickBot="1" x14ac:dyDescent="0.3">
      <c r="D307" s="166" t="s">
        <v>415</v>
      </c>
      <c r="E307" s="70" t="str">
        <f>'Pre-Assessment Estimator'!AN73</f>
        <v>O3: Sub-metering</v>
      </c>
      <c r="F307" s="785">
        <v>0</v>
      </c>
      <c r="G307" s="785" t="s">
        <v>419</v>
      </c>
      <c r="H307" s="786"/>
      <c r="BH307" s="1185" t="s">
        <v>757</v>
      </c>
      <c r="BI307" s="1065">
        <f t="shared" si="663"/>
        <v>0</v>
      </c>
      <c r="BJ307" s="1065">
        <f t="shared" si="664"/>
        <v>0</v>
      </c>
      <c r="BK307" s="1065">
        <f t="shared" si="665"/>
        <v>0</v>
      </c>
      <c r="BP307" s="166" t="s">
        <v>952</v>
      </c>
      <c r="BQ307" s="167" t="s">
        <v>174</v>
      </c>
      <c r="BR307" s="167">
        <f>MIN(BI313)</f>
        <v>0</v>
      </c>
      <c r="BS307" s="167">
        <f t="shared" ref="BS307:BT307" si="676">MIN(BJ313)</f>
        <v>0</v>
      </c>
      <c r="BT307" s="167">
        <f t="shared" si="676"/>
        <v>0</v>
      </c>
    </row>
    <row r="308" spans="4:72" ht="15.75" thickBot="1" x14ac:dyDescent="0.3">
      <c r="D308" s="192" t="s">
        <v>415</v>
      </c>
      <c r="E308" s="660" t="str">
        <f>'Pre-Assessment Estimator'!AO73</f>
        <v>Sub-metering N/A</v>
      </c>
      <c r="F308" s="789">
        <v>0</v>
      </c>
      <c r="G308" s="789" t="s">
        <v>419</v>
      </c>
      <c r="H308" s="790">
        <v>1</v>
      </c>
      <c r="BH308" s="1185" t="s">
        <v>761</v>
      </c>
      <c r="BI308" s="1065">
        <f t="shared" si="663"/>
        <v>3</v>
      </c>
      <c r="BJ308" s="1065">
        <f t="shared" si="664"/>
        <v>3</v>
      </c>
      <c r="BK308" s="1065">
        <f t="shared" si="665"/>
        <v>3</v>
      </c>
      <c r="BP308" s="166" t="s">
        <v>948</v>
      </c>
      <c r="BQ308" s="167" t="s">
        <v>175</v>
      </c>
      <c r="BR308" s="167">
        <f>MIN(BI314)</f>
        <v>3</v>
      </c>
      <c r="BS308" s="167">
        <f t="shared" ref="BS308:BT308" si="677">MIN(BJ314)</f>
        <v>3</v>
      </c>
      <c r="BT308" s="167">
        <f t="shared" si="677"/>
        <v>3</v>
      </c>
    </row>
    <row r="309" spans="4:72" ht="15.75" thickBot="1" x14ac:dyDescent="0.3">
      <c r="D309" s="313" t="s">
        <v>416</v>
      </c>
      <c r="E309" s="659" t="str">
        <f>'Pre-Assessment Estimator'!AK109</f>
        <v>O1: Flow control</v>
      </c>
      <c r="F309" s="791">
        <v>0</v>
      </c>
      <c r="G309" s="791" t="s">
        <v>419</v>
      </c>
      <c r="H309" s="792"/>
      <c r="BH309" s="1185" t="s">
        <v>764</v>
      </c>
      <c r="BI309" s="1065">
        <f t="shared" si="663"/>
        <v>3</v>
      </c>
      <c r="BJ309" s="1065">
        <f t="shared" si="664"/>
        <v>3</v>
      </c>
      <c r="BK309" s="1065">
        <f t="shared" si="665"/>
        <v>3</v>
      </c>
      <c r="BP309" s="166" t="s">
        <v>551</v>
      </c>
      <c r="BQ309" s="167" t="s">
        <v>176</v>
      </c>
      <c r="BR309" s="167">
        <f>MIN(BI315)</f>
        <v>0</v>
      </c>
      <c r="BS309" s="167">
        <f t="shared" ref="BS309:BT309" si="678">MIN(BJ315)</f>
        <v>0</v>
      </c>
      <c r="BT309" s="167">
        <f t="shared" si="678"/>
        <v>0</v>
      </c>
    </row>
    <row r="310" spans="4:72" x14ac:dyDescent="0.25">
      <c r="D310" s="166" t="s">
        <v>416</v>
      </c>
      <c r="E310" s="70" t="str">
        <f>'Pre-Assessment Estimator'!AL109</f>
        <v>O2: Flow control (-0,5 c)</v>
      </c>
      <c r="F310" s="785">
        <v>-0.5</v>
      </c>
      <c r="G310" s="785" t="s">
        <v>419</v>
      </c>
      <c r="H310" s="786"/>
      <c r="BH310" s="1187" t="s">
        <v>770</v>
      </c>
      <c r="BI310" s="246">
        <f t="shared" si="663"/>
        <v>0</v>
      </c>
      <c r="BJ310" s="246">
        <f t="shared" si="664"/>
        <v>0</v>
      </c>
      <c r="BK310" s="246">
        <f t="shared" si="665"/>
        <v>0</v>
      </c>
      <c r="BP310" s="166" t="s">
        <v>552</v>
      </c>
      <c r="BQ310" s="167" t="s">
        <v>479</v>
      </c>
      <c r="BR310" s="167">
        <f>MIN(BI316:BI317)</f>
        <v>3</v>
      </c>
      <c r="BS310" s="167">
        <f t="shared" ref="BS310:BT310" si="679">MIN(BJ316:BJ317)</f>
        <v>3</v>
      </c>
      <c r="BT310" s="167">
        <f t="shared" si="679"/>
        <v>3</v>
      </c>
    </row>
    <row r="311" spans="4:72" ht="15.75" thickBot="1" x14ac:dyDescent="0.3">
      <c r="D311" s="166" t="s">
        <v>416</v>
      </c>
      <c r="E311" s="70" t="str">
        <f>'Pre-Assessment Estimator'!AM109</f>
        <v xml:space="preserve">O3: Flow control </v>
      </c>
      <c r="F311" s="785">
        <v>0</v>
      </c>
      <c r="G311" s="785" t="s">
        <v>419</v>
      </c>
      <c r="H311" s="786"/>
      <c r="BH311" s="1186" t="s">
        <v>771</v>
      </c>
      <c r="BI311" s="258">
        <f t="shared" si="663"/>
        <v>2</v>
      </c>
      <c r="BJ311" s="258">
        <f t="shared" si="664"/>
        <v>2</v>
      </c>
      <c r="BK311" s="258">
        <f t="shared" si="665"/>
        <v>2</v>
      </c>
      <c r="BP311" s="166" t="s">
        <v>553</v>
      </c>
      <c r="BQ311" s="167" t="s">
        <v>177</v>
      </c>
      <c r="BR311" s="167">
        <f>MIN(BI318:BI321)</f>
        <v>2</v>
      </c>
      <c r="BS311" s="167">
        <f t="shared" ref="BS311:BT311" si="680">MIN(BJ318:BJ321)</f>
        <v>2</v>
      </c>
      <c r="BT311" s="167">
        <f t="shared" si="680"/>
        <v>2</v>
      </c>
    </row>
    <row r="312" spans="4:72" ht="15.75" thickBot="1" x14ac:dyDescent="0.3">
      <c r="D312" s="229" t="s">
        <v>416</v>
      </c>
      <c r="E312" s="656" t="str">
        <f>'Pre-Assessment Estimator'!AN109</f>
        <v>Flow control N/A</v>
      </c>
      <c r="F312" s="787">
        <v>0</v>
      </c>
      <c r="G312" s="787" t="s">
        <v>419</v>
      </c>
      <c r="H312" s="788">
        <v>1</v>
      </c>
      <c r="BH312" s="1185" t="s">
        <v>773</v>
      </c>
      <c r="BI312" s="246">
        <f t="shared" si="663"/>
        <v>0</v>
      </c>
      <c r="BJ312" s="246">
        <f t="shared" si="664"/>
        <v>0</v>
      </c>
      <c r="BK312" s="246">
        <f t="shared" si="665"/>
        <v>0</v>
      </c>
      <c r="BP312" s="166" t="s">
        <v>949</v>
      </c>
      <c r="BQ312" s="167" t="s">
        <v>950</v>
      </c>
      <c r="BR312" s="167">
        <f>MIN(BI322:BI323)</f>
        <v>3</v>
      </c>
      <c r="BS312" s="167">
        <f t="shared" ref="BS312:BT312" si="681">MIN(BJ322:BJ323)</f>
        <v>3</v>
      </c>
      <c r="BT312" s="167">
        <f t="shared" si="681"/>
        <v>3</v>
      </c>
    </row>
    <row r="313" spans="4:72" ht="15.75" thickBot="1" x14ac:dyDescent="0.3">
      <c r="D313" s="664" t="s">
        <v>185</v>
      </c>
      <c r="E313" s="665" t="s">
        <v>411</v>
      </c>
      <c r="F313" s="793">
        <v>1</v>
      </c>
      <c r="G313" s="793" t="s">
        <v>422</v>
      </c>
      <c r="H313" s="794"/>
      <c r="BH313" s="1185" t="s">
        <v>776</v>
      </c>
      <c r="BI313" s="1065">
        <f t="shared" si="663"/>
        <v>0</v>
      </c>
      <c r="BJ313" s="1065">
        <f t="shared" si="664"/>
        <v>0</v>
      </c>
      <c r="BK313" s="1065">
        <f t="shared" si="665"/>
        <v>0</v>
      </c>
      <c r="BP313" s="166" t="s">
        <v>180</v>
      </c>
      <c r="BQ313" s="167" t="s">
        <v>180</v>
      </c>
      <c r="BR313" s="167">
        <f>MIN(BI324)</f>
        <v>3</v>
      </c>
      <c r="BS313" s="167">
        <f t="shared" ref="BS313:BT313" si="682">MIN(BJ324)</f>
        <v>3</v>
      </c>
      <c r="BT313" s="167">
        <f t="shared" si="682"/>
        <v>3</v>
      </c>
    </row>
    <row r="314" spans="4:72" ht="15.75" thickBot="1" x14ac:dyDescent="0.3">
      <c r="D314" s="313"/>
      <c r="E314" s="663" t="s">
        <v>417</v>
      </c>
      <c r="F314" s="791"/>
      <c r="G314" s="791"/>
      <c r="H314" s="792"/>
      <c r="BH314" s="1184" t="s">
        <v>782</v>
      </c>
      <c r="BI314" s="258">
        <f t="shared" si="663"/>
        <v>3</v>
      </c>
      <c r="BJ314" s="258">
        <f t="shared" si="664"/>
        <v>3</v>
      </c>
      <c r="BK314" s="258">
        <f t="shared" si="665"/>
        <v>3</v>
      </c>
      <c r="BP314" s="166" t="s">
        <v>181</v>
      </c>
      <c r="BQ314" s="167" t="s">
        <v>181</v>
      </c>
      <c r="BR314" s="167">
        <f>MIN(BI325)</f>
        <v>2</v>
      </c>
      <c r="BS314" s="167">
        <f t="shared" ref="BS314:BT314" si="683">MIN(BJ325)</f>
        <v>2</v>
      </c>
      <c r="BT314" s="167">
        <f t="shared" si="683"/>
        <v>2</v>
      </c>
    </row>
    <row r="315" spans="4:72" ht="15.75" thickBot="1" x14ac:dyDescent="0.3">
      <c r="D315" s="166"/>
      <c r="E315" s="657" t="s">
        <v>417</v>
      </c>
      <c r="F315" s="785"/>
      <c r="G315" s="785"/>
      <c r="H315" s="786"/>
      <c r="BH315" s="1184" t="s">
        <v>783</v>
      </c>
      <c r="BI315" s="258">
        <f t="shared" si="663"/>
        <v>0</v>
      </c>
      <c r="BJ315" s="258">
        <f t="shared" si="664"/>
        <v>0</v>
      </c>
      <c r="BK315" s="258">
        <f t="shared" si="665"/>
        <v>0</v>
      </c>
      <c r="BP315" s="166" t="s">
        <v>182</v>
      </c>
      <c r="BQ315" s="167" t="s">
        <v>182</v>
      </c>
      <c r="BR315" s="167">
        <f>MIN(BI326)</f>
        <v>4</v>
      </c>
      <c r="BS315" s="167">
        <f t="shared" ref="BS315:BT315" si="684">MIN(BJ326)</f>
        <v>4</v>
      </c>
      <c r="BT315" s="167">
        <f t="shared" si="684"/>
        <v>4</v>
      </c>
    </row>
    <row r="316" spans="4:72" x14ac:dyDescent="0.25">
      <c r="D316" s="166"/>
      <c r="E316" s="657" t="s">
        <v>417</v>
      </c>
      <c r="F316" s="785"/>
      <c r="G316" s="785"/>
      <c r="H316" s="786"/>
      <c r="BH316" s="681" t="s">
        <v>787</v>
      </c>
      <c r="BI316" s="96">
        <f t="shared" si="663"/>
        <v>3</v>
      </c>
      <c r="BJ316" s="96">
        <f t="shared" si="664"/>
        <v>3</v>
      </c>
      <c r="BK316" s="96">
        <f t="shared" si="665"/>
        <v>3</v>
      </c>
      <c r="BP316" s="166" t="s">
        <v>184</v>
      </c>
      <c r="BQ316" s="167" t="s">
        <v>184</v>
      </c>
      <c r="BR316" s="167">
        <f>MIN(BI327)</f>
        <v>3</v>
      </c>
      <c r="BS316" s="167">
        <f t="shared" ref="BS316:BT316" si="685">MIN(BJ327)</f>
        <v>3</v>
      </c>
      <c r="BT316" s="167">
        <f t="shared" si="685"/>
        <v>3</v>
      </c>
    </row>
    <row r="317" spans="4:72" ht="15.75" thickBot="1" x14ac:dyDescent="0.3">
      <c r="D317" s="166"/>
      <c r="E317" s="657" t="s">
        <v>417</v>
      </c>
      <c r="F317" s="785"/>
      <c r="G317" s="785"/>
      <c r="H317" s="786"/>
      <c r="BH317" s="1184" t="s">
        <v>788</v>
      </c>
      <c r="BI317" s="258">
        <f t="shared" si="663"/>
        <v>3</v>
      </c>
      <c r="BJ317" s="258">
        <f t="shared" si="664"/>
        <v>3</v>
      </c>
      <c r="BK317" s="258">
        <f t="shared" si="665"/>
        <v>3</v>
      </c>
    </row>
    <row r="318" spans="4:72" ht="15.75" thickBot="1" x14ac:dyDescent="0.3">
      <c r="D318" s="192"/>
      <c r="E318" s="662" t="s">
        <v>417</v>
      </c>
      <c r="F318" s="789"/>
      <c r="G318" s="789"/>
      <c r="H318" s="790"/>
      <c r="BH318" s="1183" t="s">
        <v>789</v>
      </c>
      <c r="BI318" s="99">
        <f t="shared" si="663"/>
        <v>2</v>
      </c>
      <c r="BJ318" s="99">
        <f t="shared" si="664"/>
        <v>2</v>
      </c>
      <c r="BK318" s="99">
        <f t="shared" si="665"/>
        <v>2</v>
      </c>
    </row>
    <row r="319" spans="4:72" x14ac:dyDescent="0.25">
      <c r="D319" s="313"/>
      <c r="E319" s="177" t="s">
        <v>406</v>
      </c>
      <c r="F319" s="791">
        <v>1</v>
      </c>
      <c r="G319" s="791"/>
      <c r="H319" s="792"/>
      <c r="BH319" s="1183" t="s">
        <v>790</v>
      </c>
      <c r="BI319" s="99">
        <f t="shared" si="663"/>
        <v>4</v>
      </c>
      <c r="BJ319" s="99">
        <f t="shared" si="664"/>
        <v>4</v>
      </c>
      <c r="BK319" s="99">
        <f t="shared" si="665"/>
        <v>4</v>
      </c>
    </row>
    <row r="320" spans="4:72" x14ac:dyDescent="0.25">
      <c r="D320" s="166"/>
      <c r="E320" s="167" t="s">
        <v>1047</v>
      </c>
      <c r="F320" s="785">
        <v>0.5</v>
      </c>
      <c r="G320" s="785"/>
      <c r="H320" s="786"/>
      <c r="BH320" s="1183" t="s">
        <v>791</v>
      </c>
      <c r="BI320" s="99">
        <f t="shared" si="663"/>
        <v>3</v>
      </c>
      <c r="BJ320" s="99">
        <f t="shared" si="664"/>
        <v>3</v>
      </c>
      <c r="BK320" s="99">
        <f t="shared" si="665"/>
        <v>3</v>
      </c>
    </row>
    <row r="321" spans="4:63" ht="15.75" thickBot="1" x14ac:dyDescent="0.3">
      <c r="D321" s="229"/>
      <c r="E321" s="199" t="s">
        <v>408</v>
      </c>
      <c r="F321" s="787">
        <v>1</v>
      </c>
      <c r="G321" s="787"/>
      <c r="H321" s="788"/>
      <c r="BH321" s="1184" t="s">
        <v>980</v>
      </c>
      <c r="BI321" s="258">
        <f t="shared" si="663"/>
        <v>3</v>
      </c>
      <c r="BJ321" s="258">
        <f t="shared" si="664"/>
        <v>3</v>
      </c>
      <c r="BK321" s="258">
        <f t="shared" si="665"/>
        <v>3</v>
      </c>
    </row>
    <row r="322" spans="4:63" x14ac:dyDescent="0.25">
      <c r="D322" s="163"/>
      <c r="E322" s="661" t="s">
        <v>417</v>
      </c>
      <c r="F322" s="783"/>
      <c r="G322" s="783"/>
      <c r="H322" s="784"/>
      <c r="BH322" s="681" t="s">
        <v>792</v>
      </c>
      <c r="BI322" s="96">
        <f t="shared" si="663"/>
        <v>3</v>
      </c>
      <c r="BJ322" s="96">
        <f t="shared" si="664"/>
        <v>3</v>
      </c>
      <c r="BK322" s="96">
        <f t="shared" si="665"/>
        <v>3</v>
      </c>
    </row>
    <row r="323" spans="4:63" ht="15.75" thickBot="1" x14ac:dyDescent="0.3">
      <c r="D323" s="166"/>
      <c r="E323" s="657" t="s">
        <v>417</v>
      </c>
      <c r="F323" s="785"/>
      <c r="G323" s="785"/>
      <c r="H323" s="786"/>
      <c r="BH323" s="1184" t="s">
        <v>793</v>
      </c>
      <c r="BI323" s="258">
        <f t="shared" si="663"/>
        <v>9</v>
      </c>
      <c r="BJ323" s="258">
        <f t="shared" si="664"/>
        <v>9</v>
      </c>
      <c r="BK323" s="258">
        <f t="shared" si="665"/>
        <v>9</v>
      </c>
    </row>
    <row r="324" spans="4:63" ht="15.75" thickBot="1" x14ac:dyDescent="0.3">
      <c r="D324" s="166"/>
      <c r="E324" s="657" t="s">
        <v>417</v>
      </c>
      <c r="F324" s="785"/>
      <c r="G324" s="785"/>
      <c r="H324" s="786"/>
      <c r="BH324" s="1185" t="s">
        <v>981</v>
      </c>
      <c r="BI324" s="1065">
        <f t="shared" si="663"/>
        <v>3</v>
      </c>
      <c r="BJ324" s="1065">
        <f t="shared" si="664"/>
        <v>3</v>
      </c>
      <c r="BK324" s="1065">
        <f t="shared" si="665"/>
        <v>3</v>
      </c>
    </row>
    <row r="325" spans="4:63" ht="15.75" thickBot="1" x14ac:dyDescent="0.3">
      <c r="D325" s="166"/>
      <c r="E325" s="167" t="str">
        <f>AIS_NA</f>
        <v>N/A</v>
      </c>
      <c r="F325" s="785">
        <v>1</v>
      </c>
      <c r="G325" s="785"/>
      <c r="H325" s="786"/>
      <c r="BH325" s="1184" t="s">
        <v>799</v>
      </c>
      <c r="BI325" s="258">
        <f t="shared" si="663"/>
        <v>2</v>
      </c>
      <c r="BJ325" s="258">
        <f t="shared" si="664"/>
        <v>2</v>
      </c>
      <c r="BK325" s="258">
        <f t="shared" si="665"/>
        <v>2</v>
      </c>
    </row>
    <row r="326" spans="4:63" ht="15.75" thickBot="1" x14ac:dyDescent="0.3">
      <c r="D326" s="229"/>
      <c r="E326" s="199" t="s">
        <v>13</v>
      </c>
      <c r="F326" s="787">
        <v>1</v>
      </c>
      <c r="G326" s="787"/>
      <c r="H326" s="788"/>
      <c r="BH326" s="1184" t="s">
        <v>805</v>
      </c>
      <c r="BI326" s="258">
        <f t="shared" si="663"/>
        <v>4</v>
      </c>
      <c r="BJ326" s="258">
        <f t="shared" si="664"/>
        <v>4</v>
      </c>
      <c r="BK326" s="258">
        <f t="shared" si="665"/>
        <v>4</v>
      </c>
    </row>
    <row r="327" spans="4:63" ht="15.75" thickBot="1" x14ac:dyDescent="0.3">
      <c r="BH327" s="1184" t="s">
        <v>810</v>
      </c>
      <c r="BI327" s="258">
        <f t="shared" si="663"/>
        <v>3</v>
      </c>
      <c r="BJ327" s="258">
        <f t="shared" si="664"/>
        <v>3</v>
      </c>
      <c r="BK327" s="258">
        <f t="shared" si="665"/>
        <v>3</v>
      </c>
    </row>
    <row r="335" spans="4:63" x14ac:dyDescent="0.25">
      <c r="E335" s="137" t="s">
        <v>576</v>
      </c>
    </row>
    <row r="337" spans="5:71" x14ac:dyDescent="0.25">
      <c r="E337" s="96" t="s">
        <v>543</v>
      </c>
    </row>
    <row r="338" spans="5:71" x14ac:dyDescent="0.25">
      <c r="E338" s="96" t="s">
        <v>540</v>
      </c>
    </row>
    <row r="339" spans="5:71" x14ac:dyDescent="0.25">
      <c r="E339" s="96" t="s">
        <v>547</v>
      </c>
    </row>
    <row r="340" spans="5:71" x14ac:dyDescent="0.25">
      <c r="E340" s="96" t="s">
        <v>541</v>
      </c>
    </row>
    <row r="341" spans="5:71" x14ac:dyDescent="0.25">
      <c r="E341" s="96" t="s">
        <v>557</v>
      </c>
      <c r="BP341" s="96" t="s">
        <v>969</v>
      </c>
      <c r="BR341" s="96" t="s">
        <v>970</v>
      </c>
      <c r="BS341" s="96" t="str">
        <f>ADPT</f>
        <v>New Construction (fully fitted)</v>
      </c>
    </row>
    <row r="342" spans="5:71" x14ac:dyDescent="0.25">
      <c r="E342" s="96" t="s">
        <v>559</v>
      </c>
      <c r="BO342" s="1133"/>
      <c r="BP342" s="1133" t="s">
        <v>965</v>
      </c>
      <c r="BQ342" s="1133" t="s">
        <v>966</v>
      </c>
      <c r="BR342" s="1133" t="s">
        <v>967</v>
      </c>
      <c r="BS342" s="1133" t="s">
        <v>968</v>
      </c>
    </row>
    <row r="343" spans="5:71" x14ac:dyDescent="0.25">
      <c r="E343" s="96" t="s">
        <v>560</v>
      </c>
      <c r="BO343" s="49" t="s">
        <v>964</v>
      </c>
      <c r="BP343" s="1132">
        <v>0.13</v>
      </c>
      <c r="BQ343" s="1132">
        <v>0.13</v>
      </c>
      <c r="BR343" s="1132">
        <v>0.13</v>
      </c>
      <c r="BS343" s="1134">
        <f>IF($BS$341='Assessment Details'!$Q$12,Poeng!BQ343,IF(Poeng!$BS$341=ADPT02,Poeng!BR343,Poeng!BP343))</f>
        <v>0.13</v>
      </c>
    </row>
    <row r="344" spans="5:71" x14ac:dyDescent="0.25">
      <c r="E344" s="96" t="s">
        <v>569</v>
      </c>
      <c r="BO344" s="49" t="s">
        <v>62</v>
      </c>
      <c r="BP344" s="1132">
        <v>0.16</v>
      </c>
      <c r="BQ344" s="1132">
        <v>0.09</v>
      </c>
      <c r="BR344" s="1132">
        <v>0.08</v>
      </c>
      <c r="BS344" s="1134">
        <f>IF($BS$341='Assessment Details'!$Q$12,Poeng!BQ344,IF(Poeng!$BS$341=ADPT02,Poeng!BR344,Poeng!BP344))</f>
        <v>0.16</v>
      </c>
    </row>
    <row r="345" spans="5:71" x14ac:dyDescent="0.25">
      <c r="E345" s="96" t="s">
        <v>570</v>
      </c>
      <c r="BO345" s="49" t="s">
        <v>65</v>
      </c>
      <c r="BP345" s="1132">
        <v>0.14000000000000001</v>
      </c>
      <c r="BQ345" s="1132">
        <v>0.12</v>
      </c>
      <c r="BR345" s="1132">
        <v>7.0000000000000007E-2</v>
      </c>
      <c r="BS345" s="1134">
        <f>IF($BS$341='Assessment Details'!$Q$12,Poeng!BQ345,IF(Poeng!$BS$341=ADPT02,Poeng!BR345,Poeng!BP345))</f>
        <v>0.14000000000000001</v>
      </c>
    </row>
    <row r="346" spans="5:71" x14ac:dyDescent="0.25">
      <c r="E346" s="96" t="s">
        <v>571</v>
      </c>
      <c r="BO346" s="49" t="s">
        <v>66</v>
      </c>
      <c r="BP346" s="1132">
        <v>0.1</v>
      </c>
      <c r="BQ346" s="1132">
        <v>0.12</v>
      </c>
      <c r="BR346" s="1132">
        <v>0.15</v>
      </c>
      <c r="BS346" s="1134">
        <f>IF($BS$341='Assessment Details'!$Q$12,Poeng!BQ346,IF(Poeng!$BS$341=ADPT02,Poeng!BR346,Poeng!BP346))</f>
        <v>0.1</v>
      </c>
    </row>
    <row r="347" spans="5:71" x14ac:dyDescent="0.25">
      <c r="E347" s="96" t="s">
        <v>564</v>
      </c>
      <c r="BO347" s="49" t="s">
        <v>67</v>
      </c>
      <c r="BP347" s="1132">
        <v>0.04</v>
      </c>
      <c r="BQ347" s="1132">
        <v>0.04</v>
      </c>
      <c r="BR347" s="1132">
        <v>0.01</v>
      </c>
      <c r="BS347" s="1134">
        <f>IF($BS$341='Assessment Details'!$Q$12,Poeng!BQ347,IF(Poeng!$BS$341=ADPT02,Poeng!BR347,Poeng!BP347))</f>
        <v>0.04</v>
      </c>
    </row>
    <row r="348" spans="5:71" x14ac:dyDescent="0.25">
      <c r="E348" s="96" t="s">
        <v>1048</v>
      </c>
      <c r="BO348" s="49" t="s">
        <v>59</v>
      </c>
      <c r="BP348" s="1132">
        <v>0.17</v>
      </c>
      <c r="BQ348" s="1132">
        <v>0.2</v>
      </c>
      <c r="BR348" s="1132">
        <v>0.24</v>
      </c>
      <c r="BS348" s="1134">
        <f>IF($BS$341='Assessment Details'!$Q$12,Poeng!BQ348,IF(Poeng!$BS$341=ADPT02,Poeng!BR348,Poeng!BP348))</f>
        <v>0.17</v>
      </c>
    </row>
    <row r="349" spans="5:71" x14ac:dyDescent="0.25">
      <c r="BO349" s="49" t="s">
        <v>68</v>
      </c>
      <c r="BP349" s="1132">
        <v>7.0000000000000007E-2</v>
      </c>
      <c r="BQ349" s="1132">
        <v>0.08</v>
      </c>
      <c r="BR349" s="1132">
        <v>0.09</v>
      </c>
      <c r="BS349" s="1134">
        <f>IF($BS$341='Assessment Details'!$Q$12,Poeng!BQ349,IF(Poeng!$BS$341=ADPT02,Poeng!BR349,Poeng!BP349))</f>
        <v>7.0000000000000007E-2</v>
      </c>
    </row>
    <row r="350" spans="5:71" x14ac:dyDescent="0.25">
      <c r="BO350" s="49" t="s">
        <v>69</v>
      </c>
      <c r="BP350" s="1132">
        <v>0.15</v>
      </c>
      <c r="BQ350" s="1132">
        <v>0.17</v>
      </c>
      <c r="BR350" s="1132">
        <v>0.21</v>
      </c>
      <c r="BS350" s="1134">
        <f>IF($BS$341='Assessment Details'!$Q$12,Poeng!BQ350,IF(Poeng!$BS$341=ADPT02,Poeng!BR350,Poeng!BP350))</f>
        <v>0.15</v>
      </c>
    </row>
    <row r="351" spans="5:71" x14ac:dyDescent="0.25">
      <c r="BO351" s="49" t="s">
        <v>70</v>
      </c>
      <c r="BP351" s="1132">
        <v>0.04</v>
      </c>
      <c r="BQ351" s="1132">
        <v>0.05</v>
      </c>
      <c r="BR351" s="1132">
        <v>0.02</v>
      </c>
      <c r="BS351" s="1134">
        <f>IF($BS$341='Assessment Details'!$Q$12,Poeng!BQ351,IF(Poeng!$BS$341=ADPT02,Poeng!BR351,Poeng!BP351))</f>
        <v>0.04</v>
      </c>
    </row>
    <row r="352" spans="5:71" x14ac:dyDescent="0.25">
      <c r="BO352" s="49" t="s">
        <v>71</v>
      </c>
      <c r="BP352" s="1132">
        <v>0.1</v>
      </c>
      <c r="BQ352" s="1132">
        <v>0.1</v>
      </c>
      <c r="BR352" s="1132">
        <v>0.1</v>
      </c>
      <c r="BS352" s="1134">
        <f>IF($BS$341='Assessment Details'!$Q$12,Poeng!BQ352,IF(Poeng!$BS$341=ADPT02,Poeng!BR352,Poeng!BP352))</f>
        <v>0.1</v>
      </c>
    </row>
    <row r="353" spans="9:71" x14ac:dyDescent="0.25">
      <c r="BO353" s="49" t="s">
        <v>72</v>
      </c>
      <c r="BP353" s="1132">
        <v>0.1</v>
      </c>
      <c r="BQ353" s="1132">
        <v>0.1</v>
      </c>
      <c r="BR353" s="1132">
        <v>0.1</v>
      </c>
      <c r="BS353" s="1134">
        <f>IF($BS$341='Assessment Details'!$Q$12,Poeng!BQ353,IF(Poeng!$BS$341=ADPT02,Poeng!BR353,Poeng!BP353))</f>
        <v>0.1</v>
      </c>
    </row>
    <row r="354" spans="9:71" x14ac:dyDescent="0.25">
      <c r="BO354" s="1043"/>
      <c r="BP354" s="1043"/>
      <c r="BQ354" s="1043"/>
      <c r="BR354" s="1043"/>
      <c r="BS354" s="1043"/>
    </row>
    <row r="355" spans="9:71" x14ac:dyDescent="0.25">
      <c r="BO355" s="1043"/>
      <c r="BP355" s="1043"/>
      <c r="BQ355" s="1043"/>
      <c r="BR355" s="1043"/>
      <c r="BS355" s="1043"/>
    </row>
    <row r="356" spans="9:71" x14ac:dyDescent="0.25">
      <c r="BO356" s="1043"/>
      <c r="BP356" s="1043"/>
      <c r="BQ356" s="1043"/>
      <c r="BR356" s="1043"/>
      <c r="BS356" s="1043"/>
    </row>
    <row r="360" spans="9:71" x14ac:dyDescent="0.25">
      <c r="I360" s="981" t="s">
        <v>382</v>
      </c>
    </row>
    <row r="361" spans="9:71" x14ac:dyDescent="0.25">
      <c r="I361" s="981" t="s">
        <v>899</v>
      </c>
    </row>
    <row r="362" spans="9:71" x14ac:dyDescent="0.25">
      <c r="I362" s="981" t="s">
        <v>382</v>
      </c>
    </row>
    <row r="363" spans="9:71" x14ac:dyDescent="0.25">
      <c r="I363" s="981" t="s">
        <v>900</v>
      </c>
    </row>
    <row r="364" spans="9:71" x14ac:dyDescent="0.25">
      <c r="I364" s="981" t="s">
        <v>860</v>
      </c>
    </row>
    <row r="365" spans="9:71" x14ac:dyDescent="0.25">
      <c r="I365" s="981" t="s">
        <v>901</v>
      </c>
    </row>
    <row r="366" spans="9:71" x14ac:dyDescent="0.25">
      <c r="I366" s="981" t="s">
        <v>902</v>
      </c>
    </row>
    <row r="367" spans="9:71" x14ac:dyDescent="0.25">
      <c r="I367" s="981" t="s">
        <v>903</v>
      </c>
    </row>
    <row r="368" spans="9:71" x14ac:dyDescent="0.25">
      <c r="I368" s="981" t="s">
        <v>904</v>
      </c>
    </row>
    <row r="369" spans="9:9" x14ac:dyDescent="0.25">
      <c r="I369" s="981" t="s">
        <v>905</v>
      </c>
    </row>
    <row r="370" spans="9:9" x14ac:dyDescent="0.25">
      <c r="I370" s="981" t="s">
        <v>388</v>
      </c>
    </row>
    <row r="371" spans="9:9" x14ac:dyDescent="0.25">
      <c r="I371" s="981" t="s">
        <v>906</v>
      </c>
    </row>
    <row r="372" spans="9:9" x14ac:dyDescent="0.25">
      <c r="I372" s="981" t="s">
        <v>907</v>
      </c>
    </row>
  </sheetData>
  <sheetProtection algorithmName="SHA-512" hashValue="a644axVKzYIzVfdavmvZziiWxLrrsX/a4vxeEVJtQpYLdHvrudOIRaJPCNlxIl0aAxKezlvbQUOBZ1elXmCAFQ==" saltValue="M86rHcd/0Tz8kzcRnjpD7Q==" spinCount="100000" sheet="1" selectLockedCells="1"/>
  <autoFilter ref="A8:CL278"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1:F394">
    <sortCondition ref="F311:F394"/>
  </sortState>
  <mergeCells count="14">
    <mergeCell ref="BO8:BQ8"/>
    <mergeCell ref="BJ8:BL8"/>
    <mergeCell ref="BD8:BF8"/>
    <mergeCell ref="BG8:BI8"/>
    <mergeCell ref="AX259:BC259"/>
    <mergeCell ref="AX260:BC260"/>
    <mergeCell ref="AE7:AG7"/>
    <mergeCell ref="AX261:BC261"/>
    <mergeCell ref="AX262:BC262"/>
    <mergeCell ref="F8:R8"/>
    <mergeCell ref="U8:Z8"/>
    <mergeCell ref="AM8:AQ8"/>
    <mergeCell ref="AS8:AW8"/>
    <mergeCell ref="AY8:BC8"/>
  </mergeCells>
  <phoneticPr fontId="5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6"/>
  <sheetViews>
    <sheetView zoomScaleNormal="100" workbookViewId="0">
      <selection activeCell="F9" sqref="F9:G9"/>
    </sheetView>
  </sheetViews>
  <sheetFormatPr defaultColWidth="9.140625" defaultRowHeight="15" x14ac:dyDescent="0.25"/>
  <cols>
    <col min="1" max="1" width="3" style="420" customWidth="1"/>
    <col min="2" max="2" width="23.28515625" style="420" customWidth="1"/>
    <col min="3" max="3" width="11.5703125" style="420" customWidth="1"/>
    <col min="4" max="4" width="10.7109375" style="420" customWidth="1"/>
    <col min="5" max="5" width="12" style="420" customWidth="1"/>
    <col min="6" max="6" width="10.28515625" style="420" customWidth="1"/>
    <col min="7" max="7" width="10.5703125" style="420" customWidth="1"/>
    <col min="8" max="8" width="11" style="420" customWidth="1"/>
    <col min="9" max="9" width="11.140625" style="420" customWidth="1"/>
    <col min="10" max="10" width="13" style="420" customWidth="1"/>
    <col min="11" max="11" width="16.5703125" style="420" customWidth="1"/>
    <col min="12" max="12" width="13.28515625" style="420" customWidth="1"/>
    <col min="13" max="13" width="15" style="420" customWidth="1"/>
    <col min="14" max="14" width="13.5703125" style="420" customWidth="1"/>
    <col min="15" max="15" width="13.140625" style="420" customWidth="1"/>
    <col min="16" max="16" width="8" style="420" customWidth="1"/>
    <col min="17" max="17" width="16.5703125" style="420" customWidth="1"/>
    <col min="18" max="19" width="9.140625" style="420" customWidth="1"/>
    <col min="20" max="32" width="9.140625" style="420" hidden="1" customWidth="1"/>
    <col min="33" max="42" width="9.140625" style="420" customWidth="1"/>
    <col min="43" max="16384" width="9.140625" style="420"/>
  </cols>
  <sheetData>
    <row r="1" spans="1:40" x14ac:dyDescent="0.25">
      <c r="A1" s="419"/>
      <c r="B1" s="419"/>
      <c r="C1" s="419"/>
      <c r="D1" s="419"/>
      <c r="E1" s="419"/>
      <c r="F1" s="419"/>
      <c r="G1" s="419"/>
      <c r="H1" s="419"/>
      <c r="I1" s="419"/>
      <c r="J1" s="419"/>
      <c r="K1" s="419"/>
      <c r="L1" s="419"/>
      <c r="M1" s="419"/>
      <c r="N1" s="419"/>
      <c r="O1" s="419"/>
      <c r="P1" s="419"/>
      <c r="Q1" s="419"/>
      <c r="R1" s="419"/>
      <c r="S1" s="419"/>
    </row>
    <row r="2" spans="1:40" ht="42" customHeight="1" x14ac:dyDescent="0.25">
      <c r="A2" s="419"/>
      <c r="B2" s="726" t="s">
        <v>1132</v>
      </c>
      <c r="C2" s="421"/>
      <c r="D2" s="421"/>
      <c r="E2" s="421"/>
      <c r="F2" s="421"/>
      <c r="G2" s="421"/>
      <c r="H2" s="422"/>
      <c r="I2" s="422"/>
      <c r="J2" s="422"/>
      <c r="K2" s="422"/>
      <c r="L2" s="423"/>
      <c r="M2" s="422"/>
      <c r="N2" s="632" t="str">
        <f>IF('Manuell filtrering og justering'!I2='Manuell filtrering og justering'!J2,"Bespoke","")</f>
        <v/>
      </c>
      <c r="O2" s="632" t="str">
        <f>IF('Manuell filtrering og justering'!J2='Manuell filtrering og justering'!K2,"Bespoke","")</f>
        <v/>
      </c>
      <c r="P2" s="423"/>
      <c r="Q2" s="419"/>
      <c r="R2" s="419"/>
      <c r="S2" s="419"/>
    </row>
    <row r="3" spans="1:40" ht="15" customHeight="1" x14ac:dyDescent="0.25">
      <c r="A3" s="419"/>
      <c r="B3" s="424"/>
      <c r="C3" s="419"/>
      <c r="D3" s="419"/>
      <c r="E3" s="419"/>
      <c r="F3" s="419"/>
      <c r="G3" s="419"/>
      <c r="H3" s="419"/>
      <c r="I3" s="419"/>
      <c r="J3" s="419"/>
      <c r="K3" s="419"/>
      <c r="L3" s="419"/>
      <c r="M3" s="419"/>
      <c r="N3" s="425"/>
      <c r="O3" s="419"/>
      <c r="P3" s="419"/>
      <c r="Q3" s="419"/>
      <c r="R3" s="419"/>
      <c r="S3" s="419"/>
    </row>
    <row r="4" spans="1:40" ht="18.75" x14ac:dyDescent="0.3">
      <c r="A4" s="419"/>
      <c r="B4" s="426" t="s">
        <v>60</v>
      </c>
      <c r="C4" s="427"/>
      <c r="D4" s="428"/>
      <c r="E4" s="428"/>
      <c r="F4" s="428"/>
      <c r="G4" s="428"/>
      <c r="H4" s="428"/>
      <c r="I4" s="428"/>
      <c r="J4" s="428"/>
      <c r="K4" s="428"/>
      <c r="L4" s="428"/>
      <c r="M4" s="428"/>
      <c r="N4" s="428"/>
      <c r="O4" s="428"/>
      <c r="P4" s="428"/>
      <c r="Q4" s="419"/>
      <c r="R4" s="419"/>
      <c r="S4" s="419"/>
    </row>
    <row r="5" spans="1:40" x14ac:dyDescent="0.25">
      <c r="A5" s="419"/>
      <c r="B5" s="419"/>
      <c r="C5" s="419"/>
      <c r="D5" s="419"/>
      <c r="E5" s="419"/>
      <c r="F5" s="419"/>
      <c r="G5" s="419"/>
      <c r="H5" s="419"/>
      <c r="I5" s="419"/>
      <c r="J5" s="419"/>
      <c r="K5" s="419"/>
      <c r="L5" s="419"/>
      <c r="M5" s="419"/>
      <c r="N5" s="419"/>
      <c r="O5" s="419"/>
      <c r="P5" s="419"/>
      <c r="Q5" s="419"/>
      <c r="R5" s="419"/>
      <c r="S5" s="419"/>
    </row>
    <row r="6" spans="1:40" ht="15.75" x14ac:dyDescent="0.25">
      <c r="A6" s="419"/>
      <c r="B6" s="429"/>
      <c r="C6" s="430" t="s">
        <v>21</v>
      </c>
      <c r="D6" s="431" t="str">
        <f>IF(ADBN="","",ADBN)</f>
        <v/>
      </c>
      <c r="E6" s="432"/>
      <c r="F6" s="432"/>
      <c r="G6" s="432"/>
      <c r="H6" s="432"/>
      <c r="I6" s="433"/>
      <c r="J6" s="439"/>
      <c r="K6" s="434"/>
      <c r="L6" s="435"/>
      <c r="M6" s="434" t="str">
        <f>"Pre-Assessment Estimator Version: "&amp;TVC_current_version&amp;". Date: "</f>
        <v xml:space="preserve">Pre-Assessment Estimator Version: 1.1. Date: </v>
      </c>
      <c r="N6" s="436">
        <f>TVC_current_date</f>
        <v>45327</v>
      </c>
      <c r="O6" s="419"/>
      <c r="P6" s="419"/>
      <c r="Q6" s="419"/>
      <c r="R6" s="419"/>
      <c r="S6" s="419"/>
    </row>
    <row r="7" spans="1:40" x14ac:dyDescent="0.25">
      <c r="A7" s="419"/>
      <c r="B7" s="439"/>
      <c r="C7" s="439"/>
      <c r="D7" s="439"/>
      <c r="E7" s="439"/>
      <c r="F7" s="439"/>
      <c r="G7" s="439"/>
      <c r="H7" s="439"/>
      <c r="I7" s="439"/>
      <c r="J7" s="439"/>
      <c r="K7" s="439"/>
      <c r="L7" s="419"/>
      <c r="M7" s="419"/>
      <c r="N7" s="419"/>
      <c r="O7" s="419"/>
      <c r="P7" s="419"/>
      <c r="Q7" s="419"/>
      <c r="R7" s="419"/>
      <c r="S7" s="419"/>
    </row>
    <row r="8" spans="1:40" ht="15.75" x14ac:dyDescent="0.25">
      <c r="A8" s="419"/>
      <c r="B8" s="437"/>
      <c r="C8" s="438"/>
      <c r="D8" s="1382" t="s">
        <v>216</v>
      </c>
      <c r="E8" s="1383"/>
      <c r="F8" s="1374" t="s">
        <v>284</v>
      </c>
      <c r="G8" s="1375"/>
      <c r="H8" s="1374" t="s">
        <v>285</v>
      </c>
      <c r="I8" s="1375"/>
      <c r="J8" s="439"/>
      <c r="K8" s="439"/>
      <c r="L8" s="419"/>
      <c r="M8" s="419"/>
      <c r="N8" s="419"/>
      <c r="O8" s="419"/>
      <c r="P8" s="419"/>
      <c r="Q8" s="419"/>
      <c r="R8" s="419"/>
      <c r="S8" s="419"/>
    </row>
    <row r="9" spans="1:40" ht="15.75" x14ac:dyDescent="0.25">
      <c r="A9" s="439"/>
      <c r="B9" s="440"/>
      <c r="C9" s="441" t="s">
        <v>301</v>
      </c>
      <c r="D9" s="1372" t="s">
        <v>12</v>
      </c>
      <c r="E9" s="1372"/>
      <c r="F9" s="1372" t="s">
        <v>13</v>
      </c>
      <c r="G9" s="1372"/>
      <c r="H9" s="1372" t="s">
        <v>13</v>
      </c>
      <c r="I9" s="1372"/>
      <c r="J9" s="439"/>
      <c r="K9" s="439"/>
      <c r="L9" s="439"/>
      <c r="M9" s="439"/>
      <c r="N9" s="439"/>
      <c r="O9" s="439"/>
      <c r="P9" s="439"/>
      <c r="Q9" s="439"/>
      <c r="Z9" s="442"/>
      <c r="AA9" s="442"/>
      <c r="AB9" s="442"/>
      <c r="AC9" s="442"/>
      <c r="AD9" s="442"/>
      <c r="AE9" s="442"/>
      <c r="AF9" s="442"/>
      <c r="AG9" s="442"/>
      <c r="AH9" s="442"/>
      <c r="AI9" s="442"/>
      <c r="AJ9" s="442"/>
      <c r="AK9" s="442"/>
      <c r="AL9" s="442"/>
      <c r="AM9" s="442"/>
      <c r="AN9" s="442"/>
    </row>
    <row r="10" spans="1:40" ht="15.75" x14ac:dyDescent="0.25">
      <c r="A10" s="419"/>
      <c r="B10" s="443"/>
      <c r="C10" s="444" t="s">
        <v>313</v>
      </c>
      <c r="D10" s="1384" t="str">
        <f>BP_BREEAMRating</f>
        <v>Unclassified</v>
      </c>
      <c r="E10" s="1385"/>
      <c r="F10" s="1376" t="str">
        <f>Poeng!BH264</f>
        <v>Unclassified</v>
      </c>
      <c r="G10" s="1377"/>
      <c r="H10" s="1376" t="str">
        <f>Poeng!BK264</f>
        <v>Unclassified</v>
      </c>
      <c r="I10" s="1377"/>
      <c r="J10" s="439"/>
      <c r="K10" s="439" t="str">
        <f>IF(OR(Poeng!BF264=1,Poeng!BI264=1,Poeng!BL264=1),Poeng!AX269,"")</f>
        <v/>
      </c>
      <c r="L10" s="439"/>
      <c r="M10" s="439"/>
      <c r="N10" s="439"/>
      <c r="O10" s="439"/>
      <c r="P10" s="439"/>
      <c r="Q10" s="439"/>
      <c r="Z10" s="1371"/>
      <c r="AA10" s="1371"/>
      <c r="AB10" s="1371"/>
      <c r="AC10" s="1371"/>
      <c r="AD10" s="1371"/>
      <c r="AE10" s="1371"/>
      <c r="AF10" s="1371"/>
      <c r="AG10" s="1371"/>
      <c r="AH10" s="1371"/>
      <c r="AI10" s="1371"/>
      <c r="AJ10" s="1371"/>
      <c r="AK10" s="1371"/>
      <c r="AL10" s="1371"/>
      <c r="AM10" s="1371"/>
      <c r="AN10" s="1371"/>
    </row>
    <row r="11" spans="1:40" ht="18" customHeight="1" x14ac:dyDescent="0.25">
      <c r="A11" s="419"/>
      <c r="B11" s="445"/>
      <c r="C11" s="446" t="s">
        <v>85</v>
      </c>
      <c r="D11" s="1386">
        <f>Score_Initial</f>
        <v>0</v>
      </c>
      <c r="E11" s="1387"/>
      <c r="F11" s="1378">
        <f>Poeng!BG262</f>
        <v>0</v>
      </c>
      <c r="G11" s="1379"/>
      <c r="H11" s="1378">
        <f>Poeng!BJ262</f>
        <v>0</v>
      </c>
      <c r="I11" s="1379"/>
      <c r="J11" s="439"/>
      <c r="K11" s="439"/>
      <c r="L11" s="439"/>
      <c r="M11" s="439"/>
      <c r="N11" s="439"/>
      <c r="O11" s="439"/>
      <c r="P11" s="439"/>
      <c r="Q11" s="439"/>
      <c r="Z11" s="1371"/>
      <c r="AA11" s="1371"/>
      <c r="AB11" s="1371"/>
      <c r="AC11" s="1371"/>
      <c r="AD11" s="1371"/>
      <c r="AE11" s="1371"/>
      <c r="AF11" s="1371"/>
      <c r="AG11" s="1371"/>
      <c r="AH11" s="1371"/>
      <c r="AI11" s="1371"/>
      <c r="AJ11" s="1371"/>
      <c r="AK11" s="1371"/>
      <c r="AL11" s="1371"/>
      <c r="AM11" s="1371"/>
      <c r="AN11" s="1371"/>
    </row>
    <row r="12" spans="1:40" ht="18" customHeight="1" x14ac:dyDescent="0.25">
      <c r="A12" s="419"/>
      <c r="B12" s="1141"/>
      <c r="C12" s="1142" t="s">
        <v>80</v>
      </c>
      <c r="D12" s="1386" t="str">
        <f>Poeng!BE258</f>
        <v>Unclassified &lt;30%</v>
      </c>
      <c r="E12" s="1387"/>
      <c r="F12" s="1378" t="str">
        <f>Poeng!BH258</f>
        <v>Unclassified &lt;30%</v>
      </c>
      <c r="G12" s="1379"/>
      <c r="H12" s="1378" t="str">
        <f>Poeng!BK258</f>
        <v>Unclassified &lt;30%</v>
      </c>
      <c r="I12" s="1379"/>
      <c r="J12" s="439"/>
      <c r="K12" s="439"/>
      <c r="L12" s="439"/>
      <c r="M12" s="439"/>
      <c r="N12" s="439"/>
      <c r="O12" s="439"/>
      <c r="P12" s="439"/>
      <c r="Q12" s="439"/>
      <c r="Z12" s="1371"/>
      <c r="AA12" s="1371"/>
      <c r="AB12" s="1371"/>
      <c r="AC12" s="1371"/>
      <c r="AD12" s="1371"/>
      <c r="AE12" s="1371"/>
      <c r="AF12" s="1371"/>
      <c r="AG12" s="1371"/>
      <c r="AH12" s="1371"/>
      <c r="AI12" s="1371"/>
      <c r="AJ12" s="1371"/>
      <c r="AK12" s="1371"/>
      <c r="AL12" s="1371"/>
      <c r="AM12" s="1371"/>
      <c r="AN12" s="1371"/>
    </row>
    <row r="13" spans="1:40" ht="15.75" x14ac:dyDescent="0.25">
      <c r="A13" s="419"/>
      <c r="B13" s="447"/>
      <c r="C13" s="1153" t="str">
        <f>'Pre-Assessment Estimator'!G7</f>
        <v xml:space="preserve">Requirements for EU taxonomy </v>
      </c>
      <c r="D13" s="1388" t="str">
        <f>Poeng!BR258</f>
        <v>No</v>
      </c>
      <c r="E13" s="1389"/>
      <c r="F13" s="1380" t="str">
        <f>Poeng!BS258</f>
        <v>No</v>
      </c>
      <c r="G13" s="1381"/>
      <c r="H13" s="1380" t="str">
        <f>Poeng!BT258</f>
        <v>No</v>
      </c>
      <c r="I13" s="1381"/>
      <c r="J13" s="439"/>
      <c r="K13" s="439"/>
      <c r="L13" s="439"/>
      <c r="M13" s="439"/>
      <c r="N13" s="439"/>
      <c r="O13" s="439"/>
      <c r="P13" s="439"/>
      <c r="Q13" s="439"/>
      <c r="Z13" s="1371"/>
      <c r="AA13" s="1371"/>
      <c r="AB13" s="1371"/>
      <c r="AC13" s="1371"/>
      <c r="AD13" s="1371"/>
      <c r="AE13" s="1371"/>
      <c r="AF13" s="1371"/>
      <c r="AG13" s="1371"/>
      <c r="AH13" s="1371"/>
      <c r="AI13" s="1371"/>
      <c r="AJ13" s="1371"/>
      <c r="AK13" s="1371"/>
      <c r="AL13" s="1371"/>
      <c r="AM13" s="1371"/>
      <c r="AN13" s="1371"/>
    </row>
    <row r="14" spans="1:40" ht="42" customHeight="1" x14ac:dyDescent="0.3">
      <c r="A14" s="419"/>
      <c r="B14" s="426" t="s">
        <v>61</v>
      </c>
      <c r="C14" s="427"/>
      <c r="D14" s="428"/>
      <c r="E14" s="428"/>
      <c r="F14" s="428"/>
      <c r="G14" s="428"/>
      <c r="H14" s="428"/>
      <c r="I14" s="426" t="s">
        <v>80</v>
      </c>
      <c r="J14" s="428"/>
      <c r="K14" s="428"/>
      <c r="L14" s="724"/>
      <c r="M14" s="428"/>
      <c r="N14" s="428"/>
      <c r="O14" s="499"/>
      <c r="P14" s="499"/>
      <c r="Q14" s="419"/>
      <c r="R14" s="419"/>
      <c r="S14" s="419"/>
    </row>
    <row r="15" spans="1:40" ht="15" customHeight="1" x14ac:dyDescent="0.25">
      <c r="A15" s="419"/>
      <c r="B15" s="448"/>
      <c r="C15" s="448"/>
      <c r="D15" s="448"/>
      <c r="E15" s="448"/>
      <c r="F15" s="448"/>
      <c r="G15" s="448"/>
      <c r="H15" s="448"/>
      <c r="I15" s="448"/>
      <c r="J15" s="448"/>
      <c r="K15" s="439"/>
      <c r="L15" s="419"/>
      <c r="M15" s="419"/>
      <c r="N15" s="419"/>
      <c r="O15" s="419"/>
      <c r="P15" s="419"/>
      <c r="Q15" s="419"/>
      <c r="R15" s="419"/>
      <c r="S15" s="419"/>
    </row>
    <row r="16" spans="1:40" ht="15" customHeight="1" x14ac:dyDescent="0.25">
      <c r="A16" s="419"/>
      <c r="B16" s="449"/>
      <c r="C16" s="449"/>
      <c r="D16" s="449"/>
      <c r="E16" s="449"/>
      <c r="F16" s="449"/>
      <c r="G16" s="449"/>
      <c r="H16" s="449"/>
      <c r="I16" s="449"/>
      <c r="J16" s="449"/>
      <c r="K16" s="439"/>
      <c r="L16" s="419"/>
      <c r="M16" s="419"/>
      <c r="N16" s="419"/>
      <c r="O16" s="419"/>
      <c r="P16" s="419"/>
      <c r="Q16" s="419"/>
      <c r="R16" s="419"/>
      <c r="S16" s="419"/>
    </row>
    <row r="17" spans="1:32" ht="15" customHeight="1" x14ac:dyDescent="0.25">
      <c r="A17" s="419"/>
      <c r="B17" s="449"/>
      <c r="C17" s="449"/>
      <c r="D17" s="449"/>
      <c r="E17" s="449"/>
      <c r="F17" s="449"/>
      <c r="G17" s="449"/>
      <c r="H17" s="449"/>
      <c r="I17" s="449"/>
      <c r="J17" s="449"/>
      <c r="K17" s="439"/>
      <c r="L17" s="419"/>
      <c r="M17" s="419"/>
      <c r="N17" s="419"/>
      <c r="O17" s="419"/>
      <c r="P17" s="419"/>
      <c r="Q17" s="419"/>
      <c r="R17" s="419"/>
      <c r="S17" s="419"/>
    </row>
    <row r="18" spans="1:32" ht="15" customHeight="1" x14ac:dyDescent="0.25">
      <c r="A18" s="419"/>
      <c r="B18" s="449"/>
      <c r="C18" s="449"/>
      <c r="D18" s="449"/>
      <c r="E18" s="449"/>
      <c r="F18" s="449"/>
      <c r="G18" s="449"/>
      <c r="H18" s="449"/>
      <c r="I18" s="449"/>
      <c r="J18" s="449"/>
      <c r="K18" s="439"/>
      <c r="L18" s="419"/>
      <c r="M18" s="419"/>
      <c r="N18" s="419"/>
      <c r="O18" s="419"/>
      <c r="P18" s="439"/>
      <c r="Q18" s="419"/>
      <c r="R18" s="419"/>
      <c r="S18" s="419"/>
    </row>
    <row r="19" spans="1:32" ht="15" customHeight="1" x14ac:dyDescent="0.25">
      <c r="A19" s="419"/>
      <c r="B19" s="449"/>
      <c r="C19" s="449"/>
      <c r="D19" s="449"/>
      <c r="E19" s="449"/>
      <c r="F19" s="449"/>
      <c r="G19" s="449"/>
      <c r="H19" s="449"/>
      <c r="I19" s="449"/>
      <c r="J19" s="449"/>
      <c r="K19" s="439"/>
      <c r="L19" s="419"/>
      <c r="M19" s="419"/>
      <c r="N19" s="419"/>
      <c r="O19" s="419"/>
      <c r="P19" s="439"/>
      <c r="Q19" s="419"/>
      <c r="R19" s="419"/>
      <c r="S19" s="419"/>
    </row>
    <row r="20" spans="1:32" ht="15" customHeight="1" x14ac:dyDescent="0.25">
      <c r="A20" s="419"/>
      <c r="B20" s="449"/>
      <c r="C20" s="449"/>
      <c r="D20" s="449"/>
      <c r="E20" s="449"/>
      <c r="F20" s="449"/>
      <c r="G20" s="449"/>
      <c r="H20" s="449"/>
      <c r="I20" s="449"/>
      <c r="J20" s="449"/>
      <c r="K20" s="439"/>
      <c r="L20" s="419"/>
      <c r="M20" s="419"/>
      <c r="N20" s="419"/>
      <c r="O20" s="419"/>
      <c r="P20" s="439"/>
      <c r="Q20" s="419"/>
      <c r="R20" s="419"/>
      <c r="S20" s="419"/>
    </row>
    <row r="21" spans="1:32" ht="15" customHeight="1" thickBot="1" x14ac:dyDescent="0.3">
      <c r="A21" s="419"/>
      <c r="B21" s="449"/>
      <c r="C21" s="449"/>
      <c r="D21" s="449"/>
      <c r="E21" s="449"/>
      <c r="F21" s="449"/>
      <c r="G21" s="449"/>
      <c r="H21" s="449"/>
      <c r="I21" s="449"/>
      <c r="J21" s="449"/>
      <c r="K21" s="439"/>
      <c r="L21" s="419"/>
      <c r="M21" s="419"/>
      <c r="N21" s="419"/>
      <c r="O21" s="419"/>
      <c r="P21" s="439"/>
      <c r="Q21" s="419"/>
      <c r="R21" s="419"/>
      <c r="S21" s="419"/>
    </row>
    <row r="22" spans="1:32" ht="15" customHeight="1" x14ac:dyDescent="0.25">
      <c r="A22" s="419"/>
      <c r="B22" s="449"/>
      <c r="C22" s="449"/>
      <c r="D22" s="449"/>
      <c r="E22" s="449"/>
      <c r="F22" s="449"/>
      <c r="G22" s="449"/>
      <c r="H22" s="449"/>
      <c r="I22" s="449"/>
      <c r="J22" s="449"/>
      <c r="K22" s="439"/>
      <c r="L22" s="419"/>
      <c r="M22" s="419"/>
      <c r="N22" s="419"/>
      <c r="O22" s="419"/>
      <c r="P22" s="439"/>
      <c r="Q22" s="419"/>
      <c r="R22" s="419"/>
      <c r="S22" s="419"/>
      <c r="AB22" s="450"/>
      <c r="AC22" s="451" t="s">
        <v>213</v>
      </c>
      <c r="AD22" s="451" t="str">
        <f>D34</f>
        <v>Initial target setting</v>
      </c>
      <c r="AE22" s="451" t="str">
        <f>F34</f>
        <v>Design phase</v>
      </c>
      <c r="AF22" s="452" t="str">
        <f>H34</f>
        <v>Construction phase</v>
      </c>
    </row>
    <row r="23" spans="1:32" ht="15" customHeight="1" x14ac:dyDescent="0.25">
      <c r="A23" s="419"/>
      <c r="B23" s="449"/>
      <c r="C23" s="449"/>
      <c r="D23" s="449"/>
      <c r="E23" s="449"/>
      <c r="F23" s="449"/>
      <c r="G23" s="449"/>
      <c r="H23" s="449"/>
      <c r="I23" s="449"/>
      <c r="J23" s="449"/>
      <c r="K23" s="439"/>
      <c r="L23" s="419"/>
      <c r="M23" s="419"/>
      <c r="N23" s="419"/>
      <c r="O23" s="419"/>
      <c r="P23" s="439"/>
      <c r="Q23" s="419"/>
      <c r="R23" s="419"/>
      <c r="S23" s="419"/>
      <c r="AB23" s="453" t="s">
        <v>204</v>
      </c>
      <c r="AC23" s="454">
        <f>Man_Weight</f>
        <v>0.13</v>
      </c>
      <c r="AD23" s="454">
        <f t="shared" ref="AD23:AD32" si="0">IF(D$9=$AA$36,K36,"")</f>
        <v>0</v>
      </c>
      <c r="AE23" s="454" t="str">
        <f t="shared" ref="AE23:AE32" si="1">IF(F$9=$AA$36,L36,"")</f>
        <v/>
      </c>
      <c r="AF23" s="455" t="str">
        <f t="shared" ref="AF23:AF32" si="2">IF(H$9=$AA$36,M36,"")</f>
        <v/>
      </c>
    </row>
    <row r="24" spans="1:32" ht="15" customHeight="1" x14ac:dyDescent="0.25">
      <c r="A24" s="419"/>
      <c r="B24" s="449"/>
      <c r="C24" s="449"/>
      <c r="D24" s="449"/>
      <c r="E24" s="449"/>
      <c r="F24" s="449"/>
      <c r="G24" s="449"/>
      <c r="H24" s="449"/>
      <c r="I24" s="449"/>
      <c r="J24" s="449"/>
      <c r="K24" s="439"/>
      <c r="L24" s="419"/>
      <c r="M24" s="419"/>
      <c r="N24" s="419"/>
      <c r="O24" s="419"/>
      <c r="P24" s="419"/>
      <c r="Q24" s="419"/>
      <c r="R24" s="419"/>
      <c r="S24" s="419"/>
      <c r="AB24" s="453" t="s">
        <v>126</v>
      </c>
      <c r="AC24" s="454">
        <f>J37</f>
        <v>0.16</v>
      </c>
      <c r="AD24" s="454">
        <f t="shared" si="0"/>
        <v>0</v>
      </c>
      <c r="AE24" s="454" t="str">
        <f t="shared" si="1"/>
        <v/>
      </c>
      <c r="AF24" s="455" t="str">
        <f t="shared" si="2"/>
        <v/>
      </c>
    </row>
    <row r="25" spans="1:32" ht="15" customHeight="1" x14ac:dyDescent="0.25">
      <c r="A25" s="419"/>
      <c r="B25" s="449"/>
      <c r="C25" s="449"/>
      <c r="D25" s="449"/>
      <c r="E25" s="449"/>
      <c r="F25" s="449"/>
      <c r="G25" s="449"/>
      <c r="H25" s="449"/>
      <c r="I25" s="449"/>
      <c r="J25" s="449"/>
      <c r="K25" s="439"/>
      <c r="L25" s="419"/>
      <c r="M25" s="419"/>
      <c r="N25" s="419"/>
      <c r="O25" s="419"/>
      <c r="P25" s="419"/>
      <c r="Q25" s="419"/>
      <c r="R25" s="419"/>
      <c r="S25" s="419"/>
      <c r="AB25" s="453" t="s">
        <v>205</v>
      </c>
      <c r="AC25" s="454">
        <f>Ene_Weight</f>
        <v>0.14000000000000001</v>
      </c>
      <c r="AD25" s="454">
        <f t="shared" si="0"/>
        <v>0</v>
      </c>
      <c r="AE25" s="454" t="str">
        <f t="shared" si="1"/>
        <v/>
      </c>
      <c r="AF25" s="455" t="str">
        <f t="shared" si="2"/>
        <v/>
      </c>
    </row>
    <row r="26" spans="1:32" ht="15" customHeight="1" x14ac:dyDescent="0.25">
      <c r="A26" s="419"/>
      <c r="B26" s="449"/>
      <c r="C26" s="449"/>
      <c r="D26" s="449"/>
      <c r="E26" s="449"/>
      <c r="F26" s="449"/>
      <c r="G26" s="449"/>
      <c r="H26" s="449"/>
      <c r="I26" s="449"/>
      <c r="J26" s="449"/>
      <c r="K26" s="439"/>
      <c r="L26" s="419"/>
      <c r="M26" s="419"/>
      <c r="N26" s="419"/>
      <c r="O26" s="419"/>
      <c r="P26" s="419"/>
      <c r="Q26" s="419"/>
      <c r="R26" s="419"/>
      <c r="S26" s="419"/>
      <c r="AB26" s="453" t="s">
        <v>206</v>
      </c>
      <c r="AC26" s="454">
        <f>Tra_Weight</f>
        <v>0.1</v>
      </c>
      <c r="AD26" s="454">
        <f t="shared" si="0"/>
        <v>0</v>
      </c>
      <c r="AE26" s="454" t="str">
        <f t="shared" si="1"/>
        <v/>
      </c>
      <c r="AF26" s="455" t="str">
        <f t="shared" si="2"/>
        <v/>
      </c>
    </row>
    <row r="27" spans="1:32" ht="15" customHeight="1" x14ac:dyDescent="0.25">
      <c r="A27" s="419"/>
      <c r="B27" s="449"/>
      <c r="C27" s="449"/>
      <c r="D27" s="449"/>
      <c r="E27" s="449"/>
      <c r="F27" s="449"/>
      <c r="G27" s="449"/>
      <c r="H27" s="449"/>
      <c r="I27" s="449"/>
      <c r="J27" s="449"/>
      <c r="K27" s="439"/>
      <c r="L27" s="419"/>
      <c r="M27" s="419"/>
      <c r="N27" s="419"/>
      <c r="O27" s="419"/>
      <c r="P27" s="419"/>
      <c r="Q27" s="419"/>
      <c r="R27" s="419"/>
      <c r="S27" s="419"/>
      <c r="AB27" s="453" t="s">
        <v>207</v>
      </c>
      <c r="AC27" s="454">
        <f>Wat_Weight</f>
        <v>0.04</v>
      </c>
      <c r="AD27" s="454">
        <f t="shared" si="0"/>
        <v>0</v>
      </c>
      <c r="AE27" s="454" t="str">
        <f t="shared" si="1"/>
        <v/>
      </c>
      <c r="AF27" s="455" t="str">
        <f t="shared" si="2"/>
        <v/>
      </c>
    </row>
    <row r="28" spans="1:32" ht="15" customHeight="1" x14ac:dyDescent="0.25">
      <c r="A28" s="419"/>
      <c r="B28" s="449"/>
      <c r="C28" s="449"/>
      <c r="D28" s="449"/>
      <c r="E28" s="449"/>
      <c r="F28" s="449"/>
      <c r="G28" s="449"/>
      <c r="H28" s="449"/>
      <c r="I28" s="449"/>
      <c r="J28" s="449"/>
      <c r="K28" s="439"/>
      <c r="L28" s="419"/>
      <c r="M28" s="419"/>
      <c r="N28" s="419"/>
      <c r="O28" s="419"/>
      <c r="P28" s="419"/>
      <c r="Q28" s="419"/>
      <c r="R28" s="419"/>
      <c r="S28" s="419"/>
      <c r="AB28" s="453" t="s">
        <v>208</v>
      </c>
      <c r="AC28" s="454">
        <f>Mat_Weight</f>
        <v>0.17</v>
      </c>
      <c r="AD28" s="454">
        <f t="shared" si="0"/>
        <v>0</v>
      </c>
      <c r="AE28" s="454" t="str">
        <f t="shared" si="1"/>
        <v/>
      </c>
      <c r="AF28" s="455" t="str">
        <f t="shared" si="2"/>
        <v/>
      </c>
    </row>
    <row r="29" spans="1:32" ht="15" customHeight="1" x14ac:dyDescent="0.25">
      <c r="A29" s="419"/>
      <c r="B29" s="449"/>
      <c r="C29" s="449"/>
      <c r="D29" s="449"/>
      <c r="E29" s="449"/>
      <c r="F29" s="449"/>
      <c r="G29" s="449"/>
      <c r="H29" s="449"/>
      <c r="I29" s="449"/>
      <c r="J29" s="449"/>
      <c r="K29" s="439"/>
      <c r="L29" s="419"/>
      <c r="M29" s="419"/>
      <c r="N29" s="419"/>
      <c r="O29" s="419"/>
      <c r="P29" s="419"/>
      <c r="Q29" s="419"/>
      <c r="R29" s="419"/>
      <c r="S29" s="419"/>
      <c r="AB29" s="453" t="s">
        <v>209</v>
      </c>
      <c r="AC29" s="454">
        <f>Wst_Weight</f>
        <v>7.0000000000000007E-2</v>
      </c>
      <c r="AD29" s="454">
        <f t="shared" si="0"/>
        <v>0</v>
      </c>
      <c r="AE29" s="454" t="str">
        <f t="shared" si="1"/>
        <v/>
      </c>
      <c r="AF29" s="455" t="str">
        <f t="shared" si="2"/>
        <v/>
      </c>
    </row>
    <row r="30" spans="1:32" ht="15" customHeight="1" x14ac:dyDescent="0.25">
      <c r="A30" s="419"/>
      <c r="B30" s="449"/>
      <c r="C30" s="449"/>
      <c r="D30" s="449"/>
      <c r="E30" s="449"/>
      <c r="F30" s="449"/>
      <c r="G30" s="449"/>
      <c r="H30" s="449"/>
      <c r="I30" s="449"/>
      <c r="J30" s="449"/>
      <c r="K30" s="439"/>
      <c r="L30" s="419"/>
      <c r="M30" s="419"/>
      <c r="N30" s="419"/>
      <c r="O30" s="419"/>
      <c r="P30" s="419"/>
      <c r="Q30" s="419"/>
      <c r="R30" s="419"/>
      <c r="S30" s="419"/>
      <c r="AB30" s="453" t="s">
        <v>210</v>
      </c>
      <c r="AC30" s="454">
        <f>LE_Weight</f>
        <v>0.15</v>
      </c>
      <c r="AD30" s="454">
        <f t="shared" si="0"/>
        <v>0</v>
      </c>
      <c r="AE30" s="454" t="str">
        <f t="shared" si="1"/>
        <v/>
      </c>
      <c r="AF30" s="455" t="str">
        <f t="shared" si="2"/>
        <v/>
      </c>
    </row>
    <row r="31" spans="1:32" ht="15" customHeight="1" x14ac:dyDescent="0.25">
      <c r="A31" s="419"/>
      <c r="B31" s="449"/>
      <c r="C31" s="449"/>
      <c r="D31" s="449"/>
      <c r="E31" s="449"/>
      <c r="F31" s="449"/>
      <c r="G31" s="449"/>
      <c r="H31" s="449"/>
      <c r="I31" s="449"/>
      <c r="J31" s="449"/>
      <c r="K31" s="439"/>
      <c r="L31" s="419"/>
      <c r="M31" s="419"/>
      <c r="N31" s="419"/>
      <c r="O31" s="419"/>
      <c r="P31" s="419"/>
      <c r="Q31" s="419"/>
      <c r="R31" s="419"/>
      <c r="S31" s="419"/>
      <c r="AB31" s="453" t="s">
        <v>211</v>
      </c>
      <c r="AC31" s="454">
        <f>J44</f>
        <v>0.04</v>
      </c>
      <c r="AD31" s="454">
        <f t="shared" si="0"/>
        <v>0</v>
      </c>
      <c r="AE31" s="454" t="str">
        <f t="shared" si="1"/>
        <v/>
      </c>
      <c r="AF31" s="455" t="str">
        <f t="shared" si="2"/>
        <v/>
      </c>
    </row>
    <row r="32" spans="1:32" ht="15" customHeight="1" thickBot="1" x14ac:dyDescent="0.3">
      <c r="A32" s="419"/>
      <c r="B32" s="449"/>
      <c r="C32" s="449"/>
      <c r="D32" s="449"/>
      <c r="E32" s="449"/>
      <c r="F32" s="449"/>
      <c r="G32" s="449"/>
      <c r="H32" s="449"/>
      <c r="I32" s="449"/>
      <c r="J32" s="449"/>
      <c r="K32" s="439"/>
      <c r="L32" s="419"/>
      <c r="M32" s="419"/>
      <c r="N32" s="419"/>
      <c r="O32" s="419"/>
      <c r="P32" s="419"/>
      <c r="Q32" s="419"/>
      <c r="R32" s="419"/>
      <c r="S32" s="419"/>
      <c r="AB32" s="456" t="s">
        <v>212</v>
      </c>
      <c r="AC32" s="457">
        <f>J45</f>
        <v>0.1</v>
      </c>
      <c r="AD32" s="457">
        <f t="shared" si="0"/>
        <v>0</v>
      </c>
      <c r="AE32" s="457" t="str">
        <f t="shared" si="1"/>
        <v/>
      </c>
      <c r="AF32" s="458" t="str">
        <f t="shared" si="2"/>
        <v/>
      </c>
    </row>
    <row r="33" spans="1:32" ht="15" customHeight="1" x14ac:dyDescent="0.25">
      <c r="A33" s="419"/>
      <c r="B33" s="449"/>
      <c r="C33" s="449"/>
      <c r="D33" s="449"/>
      <c r="E33" s="449"/>
      <c r="F33" s="449"/>
      <c r="G33" s="449"/>
      <c r="H33" s="449"/>
      <c r="I33" s="449"/>
      <c r="J33" s="449"/>
      <c r="K33" s="439"/>
      <c r="L33" s="419"/>
      <c r="M33" s="419"/>
      <c r="N33" s="419"/>
      <c r="O33" s="419"/>
      <c r="P33" s="419"/>
      <c r="Q33" s="419"/>
      <c r="R33" s="419"/>
      <c r="S33" s="419"/>
    </row>
    <row r="34" spans="1:32" ht="15.75" x14ac:dyDescent="0.25">
      <c r="A34" s="419"/>
      <c r="B34" s="1262"/>
      <c r="C34" s="439"/>
      <c r="D34" s="1369" t="s">
        <v>216</v>
      </c>
      <c r="E34" s="1370"/>
      <c r="F34" s="1369" t="s">
        <v>284</v>
      </c>
      <c r="G34" s="1370"/>
      <c r="H34" s="1369" t="s">
        <v>285</v>
      </c>
      <c r="I34" s="1370"/>
      <c r="J34" s="459" t="s">
        <v>203</v>
      </c>
      <c r="K34" s="1369" t="s">
        <v>286</v>
      </c>
      <c r="L34" s="1373"/>
      <c r="M34" s="1370"/>
      <c r="N34" s="439"/>
      <c r="O34" s="439"/>
      <c r="P34" s="439"/>
      <c r="Q34" s="439"/>
    </row>
    <row r="35" spans="1:32" ht="32.25" thickBot="1" x14ac:dyDescent="0.3">
      <c r="A35" s="419"/>
      <c r="B35" s="460" t="s">
        <v>74</v>
      </c>
      <c r="C35" s="461" t="s">
        <v>64</v>
      </c>
      <c r="D35" s="462" t="s">
        <v>202</v>
      </c>
      <c r="E35" s="463" t="s">
        <v>63</v>
      </c>
      <c r="F35" s="461" t="s">
        <v>202</v>
      </c>
      <c r="G35" s="461" t="s">
        <v>63</v>
      </c>
      <c r="H35" s="462" t="s">
        <v>202</v>
      </c>
      <c r="I35" s="463" t="s">
        <v>63</v>
      </c>
      <c r="J35" s="464"/>
      <c r="K35" s="462" t="s">
        <v>216</v>
      </c>
      <c r="L35" s="465" t="s">
        <v>284</v>
      </c>
      <c r="M35" s="463" t="s">
        <v>285</v>
      </c>
      <c r="N35" s="439"/>
      <c r="O35" s="439"/>
      <c r="P35" s="439"/>
      <c r="Q35" s="439"/>
    </row>
    <row r="36" spans="1:32" ht="15.75" customHeight="1" x14ac:dyDescent="0.25">
      <c r="A36" s="419"/>
      <c r="B36" s="466" t="s">
        <v>62</v>
      </c>
      <c r="C36" s="467">
        <f>Man_Credits</f>
        <v>21</v>
      </c>
      <c r="D36" s="468">
        <f>Man_tot_user</f>
        <v>0</v>
      </c>
      <c r="E36" s="469">
        <f>BP_11/BP_01</f>
        <v>0</v>
      </c>
      <c r="F36" s="468">
        <f>Man_d_user</f>
        <v>0</v>
      </c>
      <c r="G36" s="470">
        <f>F36/C36</f>
        <v>0</v>
      </c>
      <c r="H36" s="468">
        <f>Man_c_user</f>
        <v>0</v>
      </c>
      <c r="I36" s="469">
        <f>H36/C36</f>
        <v>0</v>
      </c>
      <c r="J36" s="1137">
        <f>Poeng!BS343</f>
        <v>0.13</v>
      </c>
      <c r="K36" s="1135">
        <f>BP_22*J36</f>
        <v>0</v>
      </c>
      <c r="L36" s="797">
        <f>G36*J36</f>
        <v>0</v>
      </c>
      <c r="M36" s="798">
        <f>I36*J36</f>
        <v>0</v>
      </c>
      <c r="N36" s="439"/>
      <c r="O36" s="439"/>
      <c r="P36" s="439"/>
      <c r="Q36" s="439"/>
      <c r="AA36" s="471" t="s">
        <v>12</v>
      </c>
      <c r="AB36" s="451" t="str">
        <f>Poeng!BQ294</f>
        <v>Navn</v>
      </c>
      <c r="AC36" s="451" t="str">
        <f>AD22</f>
        <v>Initial target setting</v>
      </c>
      <c r="AD36" s="451" t="str">
        <f>AE22</f>
        <v>Design phase</v>
      </c>
      <c r="AE36" s="472" t="str">
        <f>AF22</f>
        <v>Construction phase</v>
      </c>
    </row>
    <row r="37" spans="1:32" ht="16.5" thickBot="1" x14ac:dyDescent="0.3">
      <c r="A37" s="419"/>
      <c r="B37" s="473" t="s">
        <v>65</v>
      </c>
      <c r="C37" s="474">
        <f>Hea_Credits</f>
        <v>19</v>
      </c>
      <c r="D37" s="475">
        <f>HW_tot_user</f>
        <v>0</v>
      </c>
      <c r="E37" s="476">
        <f>BP_12/BP_02</f>
        <v>0</v>
      </c>
      <c r="F37" s="475">
        <f>HW_d_user</f>
        <v>0</v>
      </c>
      <c r="G37" s="470">
        <f t="shared" ref="G37:G45" si="3">F37/C37</f>
        <v>0</v>
      </c>
      <c r="H37" s="475">
        <f>HW_c_user</f>
        <v>0</v>
      </c>
      <c r="I37" s="469">
        <f t="shared" ref="I37:I45" si="4">H37/C37</f>
        <v>0</v>
      </c>
      <c r="J37" s="1138">
        <f>Poeng!BS344</f>
        <v>0.16</v>
      </c>
      <c r="K37" s="482">
        <f>BP_23*J37</f>
        <v>0</v>
      </c>
      <c r="L37" s="797">
        <f t="shared" ref="L37:L45" si="5">G37*J37</f>
        <v>0</v>
      </c>
      <c r="M37" s="799">
        <f t="shared" ref="M37:M45" si="6">I37*J37</f>
        <v>0</v>
      </c>
      <c r="N37" s="439"/>
      <c r="O37" s="439"/>
      <c r="P37" s="439"/>
      <c r="Q37" s="439"/>
      <c r="AA37" s="477" t="s">
        <v>13</v>
      </c>
      <c r="AB37" s="478" t="str">
        <f>Poeng!BQ295</f>
        <v>Man 01</v>
      </c>
      <c r="AC37" s="479">
        <f>IF(D$9=$AA$36,Poeng!BR295,"")</f>
        <v>3</v>
      </c>
      <c r="AD37" s="479" t="str">
        <f>IF(F$9=$AA$36,Poeng!BS295,"")</f>
        <v/>
      </c>
      <c r="AE37" s="480" t="str">
        <f>IF(H$9=$AA$36,Poeng!BT295,"")</f>
        <v/>
      </c>
    </row>
    <row r="38" spans="1:32" s="481" customFormat="1" ht="15.75" x14ac:dyDescent="0.25">
      <c r="A38" s="419"/>
      <c r="B38" s="473" t="s">
        <v>66</v>
      </c>
      <c r="C38" s="474">
        <f>Ene_Credits</f>
        <v>27</v>
      </c>
      <c r="D38" s="475">
        <f>Ene_tot_user</f>
        <v>0</v>
      </c>
      <c r="E38" s="476">
        <f>BP_13/BP_03</f>
        <v>0</v>
      </c>
      <c r="F38" s="475">
        <f>Ene_d_user</f>
        <v>0</v>
      </c>
      <c r="G38" s="470">
        <f t="shared" si="3"/>
        <v>0</v>
      </c>
      <c r="H38" s="475">
        <f>Ene_c_user</f>
        <v>0</v>
      </c>
      <c r="I38" s="469">
        <f t="shared" si="4"/>
        <v>0</v>
      </c>
      <c r="J38" s="1138">
        <f>Poeng!BS345</f>
        <v>0.14000000000000001</v>
      </c>
      <c r="K38" s="482">
        <f>BP_24*J38</f>
        <v>0</v>
      </c>
      <c r="L38" s="797">
        <f t="shared" si="5"/>
        <v>0</v>
      </c>
      <c r="M38" s="799">
        <f t="shared" si="6"/>
        <v>0</v>
      </c>
      <c r="N38" s="1263"/>
      <c r="O38" s="1263"/>
      <c r="P38" s="1263"/>
      <c r="Q38" s="1263"/>
      <c r="AA38" s="420"/>
      <c r="AB38" s="478" t="str">
        <f>Poeng!BQ296</f>
        <v>Man 03</v>
      </c>
      <c r="AC38" s="479">
        <f>IF(D$9=$AA$36,Poeng!BR296,"")</f>
        <v>0</v>
      </c>
      <c r="AD38" s="479" t="str">
        <f>IF(F$9=$AA$36,Poeng!BS296,"")</f>
        <v/>
      </c>
      <c r="AE38" s="480" t="str">
        <f>IF(H$9=$AA$36,Poeng!BT296,"")</f>
        <v/>
      </c>
    </row>
    <row r="39" spans="1:32" s="481" customFormat="1" ht="15.75" x14ac:dyDescent="0.25">
      <c r="A39" s="419"/>
      <c r="B39" s="473" t="s">
        <v>67</v>
      </c>
      <c r="C39" s="474">
        <f>Tra_Credits</f>
        <v>13</v>
      </c>
      <c r="D39" s="475">
        <f>Tra_tot_user</f>
        <v>0</v>
      </c>
      <c r="E39" s="476">
        <f>BP_14/BP_04</f>
        <v>0</v>
      </c>
      <c r="F39" s="475">
        <f>Tra_d_user</f>
        <v>0</v>
      </c>
      <c r="G39" s="470">
        <f t="shared" si="3"/>
        <v>0</v>
      </c>
      <c r="H39" s="475">
        <f>Tra_c_user</f>
        <v>0</v>
      </c>
      <c r="I39" s="469">
        <f t="shared" si="4"/>
        <v>0</v>
      </c>
      <c r="J39" s="1138">
        <f>Poeng!BS346</f>
        <v>0.1</v>
      </c>
      <c r="K39" s="482">
        <f>BP_25*J39</f>
        <v>0</v>
      </c>
      <c r="L39" s="797">
        <f t="shared" si="5"/>
        <v>0</v>
      </c>
      <c r="M39" s="799">
        <f t="shared" si="6"/>
        <v>0</v>
      </c>
      <c r="N39" s="1263"/>
      <c r="O39" s="1263"/>
      <c r="P39" s="1263"/>
      <c r="Q39" s="1263"/>
      <c r="AA39" s="420"/>
      <c r="AB39" s="478" t="str">
        <f>Poeng!BQ297</f>
        <v>Man 04</v>
      </c>
      <c r="AC39" s="479">
        <f>IF(D$9=$AA$36,Poeng!BR297,"")</f>
        <v>0</v>
      </c>
      <c r="AD39" s="479" t="str">
        <f>IF(F$9=$AA$36,Poeng!BS297,"")</f>
        <v/>
      </c>
      <c r="AE39" s="480" t="str">
        <f>IF(H$9=$AA$36,Poeng!BT297,"")</f>
        <v/>
      </c>
    </row>
    <row r="40" spans="1:32" s="481" customFormat="1" ht="15.75" x14ac:dyDescent="0.25">
      <c r="A40" s="419"/>
      <c r="B40" s="473" t="s">
        <v>59</v>
      </c>
      <c r="C40" s="474">
        <f>Wat_Credits</f>
        <v>9</v>
      </c>
      <c r="D40" s="475">
        <f>Wat_tot_user</f>
        <v>0</v>
      </c>
      <c r="E40" s="476">
        <f>BP_15/BP_05</f>
        <v>0</v>
      </c>
      <c r="F40" s="475">
        <f>Wat_d_user</f>
        <v>0</v>
      </c>
      <c r="G40" s="470">
        <f t="shared" si="3"/>
        <v>0</v>
      </c>
      <c r="H40" s="475">
        <f>Wat_c_user</f>
        <v>0</v>
      </c>
      <c r="I40" s="469">
        <f t="shared" si="4"/>
        <v>0</v>
      </c>
      <c r="J40" s="1138">
        <f>Poeng!BS347</f>
        <v>0.04</v>
      </c>
      <c r="K40" s="482">
        <f>BP_26*J40</f>
        <v>0</v>
      </c>
      <c r="L40" s="797">
        <f t="shared" si="5"/>
        <v>0</v>
      </c>
      <c r="M40" s="799">
        <f t="shared" si="6"/>
        <v>0</v>
      </c>
      <c r="N40" s="1263"/>
      <c r="O40" s="1263"/>
      <c r="P40" s="1263"/>
      <c r="Q40" s="1263"/>
      <c r="AA40" s="420"/>
      <c r="AB40" s="478" t="str">
        <f>Poeng!BQ298</f>
        <v>Man 05</v>
      </c>
      <c r="AC40" s="479">
        <f>IF(D$9=$AA$36,Poeng!BR298,"")</f>
        <v>3</v>
      </c>
      <c r="AD40" s="479" t="str">
        <f>IF(F$9=$AA$36,Poeng!BS298,"")</f>
        <v/>
      </c>
      <c r="AE40" s="480" t="str">
        <f>IF(H$9=$AA$36,Poeng!BT298,"")</f>
        <v/>
      </c>
    </row>
    <row r="41" spans="1:32" s="481" customFormat="1" ht="15.75" x14ac:dyDescent="0.25">
      <c r="A41" s="419"/>
      <c r="B41" s="473" t="s">
        <v>68</v>
      </c>
      <c r="C41" s="474">
        <f>Mat_Credits</f>
        <v>21</v>
      </c>
      <c r="D41" s="475">
        <f>Mat_tot_user</f>
        <v>0</v>
      </c>
      <c r="E41" s="476">
        <f>BP_16/BP_06</f>
        <v>0</v>
      </c>
      <c r="F41" s="475">
        <f>Mat_d_user</f>
        <v>0</v>
      </c>
      <c r="G41" s="470">
        <f t="shared" si="3"/>
        <v>0</v>
      </c>
      <c r="H41" s="475">
        <f>Mat_c_user</f>
        <v>0</v>
      </c>
      <c r="I41" s="469">
        <f t="shared" si="4"/>
        <v>0</v>
      </c>
      <c r="J41" s="1138">
        <f>Poeng!BS348</f>
        <v>0.17</v>
      </c>
      <c r="K41" s="482">
        <f>BP_27*J41</f>
        <v>0</v>
      </c>
      <c r="L41" s="797">
        <f t="shared" si="5"/>
        <v>0</v>
      </c>
      <c r="M41" s="799">
        <f t="shared" si="6"/>
        <v>0</v>
      </c>
      <c r="N41" s="1263"/>
      <c r="O41" s="1263"/>
      <c r="P41" s="1263"/>
      <c r="Q41" s="1263"/>
      <c r="AA41" s="420"/>
      <c r="AB41" s="478" t="str">
        <f>Poeng!BQ299</f>
        <v>Hea 01</v>
      </c>
      <c r="AC41" s="479">
        <f>IF(D$9=$AA$36,Poeng!BR299,"")</f>
        <v>0</v>
      </c>
      <c r="AD41" s="479" t="str">
        <f>IF(F$9=$AA$36,Poeng!BS299,"")</f>
        <v/>
      </c>
      <c r="AE41" s="480" t="str">
        <f>IF(H$9=$AA$36,Poeng!BT299,"")</f>
        <v/>
      </c>
    </row>
    <row r="42" spans="1:32" ht="15.75" x14ac:dyDescent="0.25">
      <c r="A42" s="419"/>
      <c r="B42" s="473" t="s">
        <v>69</v>
      </c>
      <c r="C42" s="474">
        <f>Wst_Credits</f>
        <v>7</v>
      </c>
      <c r="D42" s="475">
        <f>Wst_tot_user</f>
        <v>0</v>
      </c>
      <c r="E42" s="476">
        <f>BP_18/BP_07</f>
        <v>0</v>
      </c>
      <c r="F42" s="475">
        <f>Wst_d_user</f>
        <v>0</v>
      </c>
      <c r="G42" s="470">
        <f t="shared" si="3"/>
        <v>0</v>
      </c>
      <c r="H42" s="475">
        <f>Wst_c_user</f>
        <v>0</v>
      </c>
      <c r="I42" s="469">
        <f t="shared" si="4"/>
        <v>0</v>
      </c>
      <c r="J42" s="1138">
        <f>Poeng!BS349</f>
        <v>7.0000000000000007E-2</v>
      </c>
      <c r="K42" s="482">
        <f>BP_28*J42</f>
        <v>0</v>
      </c>
      <c r="L42" s="797">
        <f t="shared" si="5"/>
        <v>0</v>
      </c>
      <c r="M42" s="799">
        <f t="shared" si="6"/>
        <v>0</v>
      </c>
      <c r="N42" s="439"/>
      <c r="O42" s="439"/>
      <c r="P42" s="439"/>
      <c r="Q42" s="439"/>
      <c r="AB42" s="478" t="str">
        <f>Poeng!BQ300</f>
        <v>Hea 02</v>
      </c>
      <c r="AC42" s="479">
        <f>IF(D$9=$AA$36,Poeng!BR300,"")</f>
        <v>0</v>
      </c>
      <c r="AD42" s="479" t="str">
        <f>IF(F$9=$AA$36,Poeng!BS300,"")</f>
        <v/>
      </c>
      <c r="AE42" s="480" t="str">
        <f>IF(H$9=$AA$36,Poeng!BT300,"")</f>
        <v/>
      </c>
    </row>
    <row r="43" spans="1:32" ht="15.75" x14ac:dyDescent="0.25">
      <c r="A43" s="419"/>
      <c r="B43" s="473" t="s">
        <v>70</v>
      </c>
      <c r="C43" s="474">
        <f>LE_Credits</f>
        <v>19</v>
      </c>
      <c r="D43" s="475">
        <f>Lue_tot_user</f>
        <v>0</v>
      </c>
      <c r="E43" s="476">
        <f>BP_19/BP_08</f>
        <v>0</v>
      </c>
      <c r="F43" s="475">
        <f>Lue_d_user</f>
        <v>0</v>
      </c>
      <c r="G43" s="470">
        <f t="shared" si="3"/>
        <v>0</v>
      </c>
      <c r="H43" s="475">
        <f>Lue_c_user</f>
        <v>0</v>
      </c>
      <c r="I43" s="469">
        <f t="shared" si="4"/>
        <v>0</v>
      </c>
      <c r="J43" s="1138">
        <f>Poeng!BS350</f>
        <v>0.15</v>
      </c>
      <c r="K43" s="482">
        <f>BP_29*J43</f>
        <v>0</v>
      </c>
      <c r="L43" s="797">
        <f t="shared" si="5"/>
        <v>0</v>
      </c>
      <c r="M43" s="799">
        <f t="shared" si="6"/>
        <v>0</v>
      </c>
      <c r="N43" s="439"/>
      <c r="O43" s="439"/>
      <c r="P43" s="439"/>
      <c r="Q43" s="439"/>
      <c r="AB43" s="478" t="str">
        <f>Poeng!BQ301</f>
        <v>Ene 01</v>
      </c>
      <c r="AC43" s="479">
        <f>IF(D$9=$AA$36,Poeng!BR301,"")</f>
        <v>3</v>
      </c>
      <c r="AD43" s="479" t="str">
        <f>IF(F$9=$AA$36,Poeng!BS301,"")</f>
        <v/>
      </c>
      <c r="AE43" s="480" t="str">
        <f>IF(H$9=$AA$36,Poeng!BT301,"")</f>
        <v/>
      </c>
    </row>
    <row r="44" spans="1:32" ht="15.75" customHeight="1" x14ac:dyDescent="0.25">
      <c r="A44" s="419"/>
      <c r="B44" s="473" t="s">
        <v>71</v>
      </c>
      <c r="C44" s="474">
        <f>Pol_Credits</f>
        <v>7</v>
      </c>
      <c r="D44" s="475">
        <f>Pol_tot_user</f>
        <v>0</v>
      </c>
      <c r="E44" s="476">
        <f>BP_20/BP_09</f>
        <v>0</v>
      </c>
      <c r="F44" s="475">
        <f>Pol_d_user</f>
        <v>0</v>
      </c>
      <c r="G44" s="470">
        <f t="shared" si="3"/>
        <v>0</v>
      </c>
      <c r="H44" s="475">
        <f>Pol_c_user</f>
        <v>0</v>
      </c>
      <c r="I44" s="469">
        <f t="shared" si="4"/>
        <v>0</v>
      </c>
      <c r="J44" s="1138">
        <f>Poeng!BS351</f>
        <v>0.04</v>
      </c>
      <c r="K44" s="482">
        <f>BP_30*J44</f>
        <v>0</v>
      </c>
      <c r="L44" s="797">
        <f t="shared" si="5"/>
        <v>0</v>
      </c>
      <c r="M44" s="799">
        <f t="shared" si="6"/>
        <v>0</v>
      </c>
      <c r="N44" s="439"/>
      <c r="O44" s="439"/>
      <c r="P44" s="439"/>
      <c r="Q44" s="439"/>
      <c r="AB44" s="478" t="str">
        <f>IF(AF44=9,"",Poeng!BQ302)</f>
        <v>Ene 07</v>
      </c>
      <c r="AC44" s="479">
        <f>IF(AF44=9,"",IF(D$9=$AA$36,Poeng!BR302,""))</f>
        <v>0</v>
      </c>
      <c r="AD44" s="479" t="str">
        <f>IF(AF44=9,"",IF(F$9=$AA$36,Poeng!BS302,""))</f>
        <v/>
      </c>
      <c r="AE44" s="480" t="str">
        <f>IF(AF44=9,"",IF(H$9=$AA$36,Poeng!BT302,""))</f>
        <v/>
      </c>
      <c r="AF44" s="420">
        <f>Poeng!BR302</f>
        <v>0</v>
      </c>
    </row>
    <row r="45" spans="1:32" ht="15.75" x14ac:dyDescent="0.25">
      <c r="A45" s="419"/>
      <c r="B45" s="473" t="s">
        <v>72</v>
      </c>
      <c r="C45" s="474">
        <f>Inn_Credits</f>
        <v>10</v>
      </c>
      <c r="D45" s="475">
        <f>Inn_tot_user</f>
        <v>0</v>
      </c>
      <c r="E45" s="476">
        <f>BP_21/BP_10</f>
        <v>0</v>
      </c>
      <c r="F45" s="475">
        <f>Inn_d_user</f>
        <v>0</v>
      </c>
      <c r="G45" s="470">
        <f t="shared" si="3"/>
        <v>0</v>
      </c>
      <c r="H45" s="475">
        <f>Inn_c_user</f>
        <v>0</v>
      </c>
      <c r="I45" s="469">
        <f t="shared" si="4"/>
        <v>0</v>
      </c>
      <c r="J45" s="1138">
        <v>0.1</v>
      </c>
      <c r="K45" s="482">
        <f>BP_31*J45</f>
        <v>0</v>
      </c>
      <c r="L45" s="797">
        <f t="shared" si="5"/>
        <v>0</v>
      </c>
      <c r="M45" s="799">
        <f t="shared" si="6"/>
        <v>0</v>
      </c>
      <c r="N45" s="439"/>
      <c r="O45" s="439"/>
      <c r="P45" s="439"/>
      <c r="Q45" s="439"/>
      <c r="AB45" s="478" t="str">
        <f>Poeng!BQ303</f>
        <v>Tra 01</v>
      </c>
      <c r="AC45" s="479">
        <f>IF(D$9=$AA$36,Poeng!BR303,"")</f>
        <v>3</v>
      </c>
      <c r="AD45" s="479" t="str">
        <f>IF(F$9=$AA$36,Poeng!BS303,"")</f>
        <v/>
      </c>
      <c r="AE45" s="480" t="str">
        <f>IF(H$9=$AA$36,Poeng!BT303,"")</f>
        <v/>
      </c>
    </row>
    <row r="46" spans="1:32" ht="15.75" x14ac:dyDescent="0.25">
      <c r="A46" s="419"/>
      <c r="B46" s="483" t="s">
        <v>214</v>
      </c>
      <c r="C46" s="484">
        <f>SUM(C36:C45)</f>
        <v>153</v>
      </c>
      <c r="D46" s="485">
        <f>SUM(D36:D45)</f>
        <v>0</v>
      </c>
      <c r="E46" s="486"/>
      <c r="F46" s="487">
        <f>SUM(F36:F45)</f>
        <v>0</v>
      </c>
      <c r="G46" s="488"/>
      <c r="H46" s="485">
        <f>SUM(H36:H45)</f>
        <v>0</v>
      </c>
      <c r="I46" s="486"/>
      <c r="J46" s="1139">
        <f>SUM(J36:J45)</f>
        <v>1.1000000000000001</v>
      </c>
      <c r="K46" s="1136">
        <f>IF(SUM(K36:K45)&gt;1,1,SUM(K36:K45))</f>
        <v>0</v>
      </c>
      <c r="L46" s="489">
        <f t="shared" ref="L46:M46" si="7">IF(SUM(L36:L45)&gt;1,1,SUM(L36:L45))</f>
        <v>0</v>
      </c>
      <c r="M46" s="490">
        <f t="shared" si="7"/>
        <v>0</v>
      </c>
      <c r="N46" s="439"/>
      <c r="O46" s="439"/>
      <c r="P46" s="439"/>
      <c r="Q46" s="439"/>
      <c r="AB46" s="478" t="str">
        <f>Poeng!BQ304</f>
        <v>Wat 01</v>
      </c>
      <c r="AC46" s="479">
        <f>IF(D$9=$AA$36,Poeng!BR304,"")</f>
        <v>3</v>
      </c>
      <c r="AD46" s="479" t="str">
        <f>IF(F$9=$AA$36,Poeng!BS304,"")</f>
        <v/>
      </c>
      <c r="AE46" s="480" t="str">
        <f>IF(H$9=$AA$36,Poeng!BT304,"")</f>
        <v/>
      </c>
    </row>
    <row r="47" spans="1:32" ht="15.75" x14ac:dyDescent="0.25">
      <c r="A47" s="419"/>
      <c r="B47" s="491" t="s">
        <v>313</v>
      </c>
      <c r="C47" s="492"/>
      <c r="D47" s="492"/>
      <c r="E47" s="492"/>
      <c r="F47" s="492"/>
      <c r="G47" s="492"/>
      <c r="H47" s="492"/>
      <c r="I47" s="492"/>
      <c r="J47" s="1140"/>
      <c r="K47" s="482" t="str">
        <f>D10</f>
        <v>Unclassified</v>
      </c>
      <c r="L47" s="493" t="str">
        <f>F10</f>
        <v>Unclassified</v>
      </c>
      <c r="M47" s="486" t="str">
        <f>H10</f>
        <v>Unclassified</v>
      </c>
      <c r="N47" s="439"/>
      <c r="O47" s="439"/>
      <c r="P47" s="439"/>
      <c r="Q47" s="439"/>
      <c r="AB47" s="478" t="str">
        <f>Poeng!BQ305</f>
        <v>Mat 01</v>
      </c>
      <c r="AC47" s="479">
        <f>IF(D$9=$AA$36,Poeng!BR305,"")</f>
        <v>0</v>
      </c>
      <c r="AD47" s="479" t="str">
        <f>IF(F$9=$AA$36,Poeng!BS305,"")</f>
        <v/>
      </c>
      <c r="AE47" s="480" t="str">
        <f>IF(H$9=$AA$36,Poeng!BT305,"")</f>
        <v/>
      </c>
    </row>
    <row r="48" spans="1:32" ht="15.75" x14ac:dyDescent="0.25">
      <c r="A48" s="1264"/>
      <c r="B48" s="491" t="s">
        <v>80</v>
      </c>
      <c r="C48" s="492"/>
      <c r="D48" s="492"/>
      <c r="E48" s="492"/>
      <c r="F48" s="492"/>
      <c r="G48" s="492"/>
      <c r="H48" s="492"/>
      <c r="I48" s="492"/>
      <c r="J48" s="1140"/>
      <c r="K48" s="482" t="str">
        <f>D12</f>
        <v>Unclassified &lt;30%</v>
      </c>
      <c r="L48" s="493" t="str">
        <f>F12</f>
        <v>Unclassified &lt;30%</v>
      </c>
      <c r="M48" s="486" t="str">
        <f>H12</f>
        <v>Unclassified &lt;30%</v>
      </c>
      <c r="N48" s="494"/>
      <c r="O48" s="495"/>
      <c r="P48" s="496"/>
      <c r="Q48" s="496"/>
      <c r="R48" s="496"/>
      <c r="S48" s="496"/>
      <c r="AB48" s="478" t="str">
        <f>Poeng!BQ306</f>
        <v>Mat 02</v>
      </c>
      <c r="AC48" s="479">
        <f>IF(D$9=$AA$36,Poeng!BR306,"")</f>
        <v>0</v>
      </c>
      <c r="AD48" s="479" t="str">
        <f>IF(F$9=$AA$36,Poeng!BS306,"")</f>
        <v/>
      </c>
      <c r="AE48" s="480" t="str">
        <f>IF(H$9=$AA$36,Poeng!BT306,"")</f>
        <v/>
      </c>
    </row>
    <row r="49" spans="1:33" s="497" customFormat="1" ht="15.75" x14ac:dyDescent="0.25">
      <c r="B49" s="491" t="str">
        <f>C13</f>
        <v xml:space="preserve">Requirements for EU taxonomy </v>
      </c>
      <c r="C49" s="492"/>
      <c r="D49" s="492"/>
      <c r="E49" s="492"/>
      <c r="F49" s="492"/>
      <c r="G49" s="492"/>
      <c r="H49" s="492"/>
      <c r="I49" s="492"/>
      <c r="J49" s="1140"/>
      <c r="K49" s="482" t="str">
        <f>D13</f>
        <v>No</v>
      </c>
      <c r="L49" s="493" t="str">
        <f>F13</f>
        <v>No</v>
      </c>
      <c r="M49" s="486" t="str">
        <f>H13</f>
        <v>No</v>
      </c>
      <c r="O49" s="498"/>
      <c r="P49" s="498"/>
      <c r="Q49" s="498"/>
      <c r="R49" s="498"/>
      <c r="S49" s="498"/>
      <c r="T49" s="498"/>
      <c r="U49" s="498"/>
      <c r="AA49" s="420"/>
      <c r="AB49" s="478" t="str">
        <f>Poeng!BQ307</f>
        <v>Mat 03</v>
      </c>
      <c r="AC49" s="479">
        <f>IF(D$9=$AA$36,Poeng!BR307,"")</f>
        <v>0</v>
      </c>
      <c r="AD49" s="479" t="str">
        <f>IF(F$9=$AA$36,Poeng!BS307,"")</f>
        <v/>
      </c>
      <c r="AE49" s="480" t="str">
        <f>IF(H$9=$AA$36,Poeng!BT307,"")</f>
        <v/>
      </c>
      <c r="AF49" s="420"/>
      <c r="AG49" s="420"/>
    </row>
    <row r="50" spans="1:33" s="497" customFormat="1" x14ac:dyDescent="0.25">
      <c r="B50" s="419"/>
      <c r="C50" s="419"/>
      <c r="D50" s="419"/>
      <c r="E50" s="419"/>
      <c r="F50" s="419"/>
      <c r="G50" s="419"/>
      <c r="H50" s="419"/>
      <c r="I50" s="419"/>
      <c r="J50" s="419"/>
      <c r="K50" s="419"/>
      <c r="L50" s="419"/>
      <c r="M50" s="419"/>
      <c r="AA50" s="420"/>
      <c r="AB50" s="478" t="str">
        <f>Poeng!BQ308</f>
        <v>Mat 05</v>
      </c>
      <c r="AC50" s="479">
        <f>IF(D$9=$AA$36,Poeng!BR308,"")</f>
        <v>3</v>
      </c>
      <c r="AD50" s="479" t="str">
        <f>IF(F$9=$AA$36,Poeng!BS308,"")</f>
        <v/>
      </c>
      <c r="AE50" s="480" t="str">
        <f>IF(H$9=$AA$36,Poeng!BT308,"")</f>
        <v/>
      </c>
      <c r="AF50" s="420"/>
      <c r="AG50" s="420"/>
    </row>
    <row r="51" spans="1:33" s="419" customFormat="1" x14ac:dyDescent="0.25">
      <c r="A51" s="1227"/>
      <c r="B51" s="1227"/>
      <c r="C51" s="1227"/>
      <c r="D51" s="1227"/>
      <c r="E51" s="1227"/>
      <c r="F51" s="1227"/>
      <c r="G51" s="1227"/>
      <c r="H51" s="1227"/>
      <c r="I51" s="1227"/>
      <c r="J51" s="1227"/>
      <c r="K51" s="1227"/>
      <c r="L51" s="1227"/>
      <c r="M51" s="1227"/>
      <c r="N51" s="1227"/>
      <c r="O51" s="1227"/>
      <c r="P51" s="1227"/>
      <c r="Q51" s="1227"/>
      <c r="AA51" s="420"/>
      <c r="AB51" s="478" t="str">
        <f>Poeng!BQ309</f>
        <v>Mat 06</v>
      </c>
      <c r="AC51" s="479">
        <f>IF(D$9=$AA$36,Poeng!BR309,"")</f>
        <v>0</v>
      </c>
      <c r="AD51" s="479" t="str">
        <f>IF(F$9=$AA$36,Poeng!BS309,"")</f>
        <v/>
      </c>
      <c r="AE51" s="480" t="str">
        <f>IF(H$9=$AA$36,Poeng!BT309,"")</f>
        <v/>
      </c>
      <c r="AF51" s="497"/>
      <c r="AG51" s="497"/>
    </row>
    <row r="52" spans="1:33" s="419" customFormat="1" ht="32.25" x14ac:dyDescent="0.3">
      <c r="A52" s="1012"/>
      <c r="B52" s="426" t="s">
        <v>971</v>
      </c>
      <c r="C52" s="427"/>
      <c r="D52" s="428"/>
      <c r="E52" s="428"/>
      <c r="F52" s="428"/>
      <c r="G52" s="428"/>
      <c r="H52" s="428"/>
      <c r="I52" s="428"/>
      <c r="J52" s="462" t="s">
        <v>1050</v>
      </c>
      <c r="K52" s="462" t="s">
        <v>216</v>
      </c>
      <c r="L52" s="465" t="s">
        <v>284</v>
      </c>
      <c r="M52" s="463" t="s">
        <v>285</v>
      </c>
      <c r="N52" s="428"/>
      <c r="O52" s="428"/>
      <c r="P52" s="1227"/>
      <c r="Q52" s="1227"/>
      <c r="AA52" s="500"/>
      <c r="AB52" s="478" t="str">
        <f>Poeng!BQ310</f>
        <v>Mat 07</v>
      </c>
      <c r="AC52" s="479">
        <f>IF(D$9=$AA$36,Poeng!BR310,"")</f>
        <v>3</v>
      </c>
      <c r="AD52" s="479" t="str">
        <f>IF(F$9=$AA$36,Poeng!BS310,"")</f>
        <v/>
      </c>
      <c r="AE52" s="480" t="str">
        <f>IF(H$9=$AA$36,Poeng!BT310,"")</f>
        <v/>
      </c>
      <c r="AF52" s="497"/>
      <c r="AG52" s="497"/>
    </row>
    <row r="53" spans="1:33" s="419" customFormat="1" x14ac:dyDescent="0.25">
      <c r="A53" s="736"/>
      <c r="B53" s="1195" t="s">
        <v>62</v>
      </c>
      <c r="P53" s="1227"/>
      <c r="Q53" s="1227"/>
      <c r="AB53" s="478" t="str">
        <f>Poeng!BQ311</f>
        <v>Wst 01</v>
      </c>
      <c r="AC53" s="479">
        <f>IF(D$9=$AA$36,Poeng!BR311,"")</f>
        <v>2</v>
      </c>
      <c r="AD53" s="479" t="str">
        <f>IF(F$9=$AA$36,Poeng!BS311,"")</f>
        <v/>
      </c>
      <c r="AE53" s="480" t="str">
        <f>IF(H$9=$AA$36,Poeng!BT311,"")</f>
        <v/>
      </c>
    </row>
    <row r="54" spans="1:33" s="419" customFormat="1" x14ac:dyDescent="0.25">
      <c r="A54" s="1274" t="s">
        <v>712</v>
      </c>
      <c r="B54" s="1265" t="str">
        <f>VLOOKUP(A54,Poeng!$B$8:$BU$255,Poeng!$C$1,FALSE)</f>
        <v>Man 01</v>
      </c>
      <c r="C54" s="1266" t="s">
        <v>1052</v>
      </c>
      <c r="D54" s="1267"/>
      <c r="E54" s="1267"/>
      <c r="F54" s="1267"/>
      <c r="G54" s="1267"/>
      <c r="H54" s="1267"/>
      <c r="I54" s="1267"/>
      <c r="J54" s="1268">
        <f>VLOOKUP(A54,Poeng!$B$10:$BT$258,Poeng!$BQ$1,FALSE)</f>
        <v>1</v>
      </c>
      <c r="K54" s="1269">
        <f>VLOOKUP(A54,Poeng!$B$10:$BT$258,Poeng!$AI$1,FALSE)</f>
        <v>0</v>
      </c>
      <c r="L54" s="1269">
        <f>VLOOKUP(A54,Poeng!$B$10:$BT$258,Poeng!$AJ$1,FALSE)</f>
        <v>0</v>
      </c>
      <c r="M54" s="1269">
        <f>VLOOKUP(A54,Poeng!$B$10:$BT$258,Poeng!$AK$1,FALSE)</f>
        <v>0</v>
      </c>
      <c r="O54" s="1227"/>
      <c r="P54" s="1227"/>
      <c r="Q54" s="1227"/>
      <c r="T54" s="419" t="str">
        <f>IFERROR(VLOOKUP(A54,Poeng!$B$8:$BU$255,Poeng!$E$1,FALSE),"")</f>
        <v>Climate gas calculation for whole building life cycle (EU taxonomy requirement: criterion 2-3)</v>
      </c>
      <c r="AB54" s="478" t="str">
        <f>Poeng!BQ312</f>
        <v>Wst 03</v>
      </c>
      <c r="AC54" s="479">
        <f>IF(D$9=$AA$36,Poeng!BR312,"")</f>
        <v>3</v>
      </c>
      <c r="AD54" s="479" t="str">
        <f>IF(F$9=$AA$36,Poeng!BS312,"")</f>
        <v/>
      </c>
      <c r="AE54" s="480" t="str">
        <f>IF(H$9=$AA$36,Poeng!BT312,"")</f>
        <v/>
      </c>
    </row>
    <row r="55" spans="1:33" x14ac:dyDescent="0.25">
      <c r="A55" s="1274" t="s">
        <v>720</v>
      </c>
      <c r="B55" s="1270" t="str">
        <f>VLOOKUP(A55,Poeng!$B$8:$BU$255,Poeng!$C$1,FALSE)</f>
        <v>Man 03</v>
      </c>
      <c r="C55" s="1266" t="s">
        <v>1149</v>
      </c>
      <c r="D55" s="1267"/>
      <c r="E55" s="1267"/>
      <c r="F55" s="1267"/>
      <c r="G55" s="1267"/>
      <c r="H55" s="1267"/>
      <c r="I55" s="1267"/>
      <c r="J55" s="1268">
        <f>VLOOKUP(A55,Poeng!$B$10:$BT$258,Poeng!$BQ$1,FALSE)</f>
        <v>1</v>
      </c>
      <c r="K55" s="1269">
        <f>VLOOKUP(A55,Poeng!$B$10:$BT$258,Poeng!$AI$1,FALSE)</f>
        <v>0</v>
      </c>
      <c r="L55" s="1269">
        <f>VLOOKUP(A55,Poeng!$B$10:$BT$258,Poeng!$AJ$1,FALSE)</f>
        <v>0</v>
      </c>
      <c r="M55" s="1269">
        <f>VLOOKUP(A55,Poeng!$B$10:$BT$258,Poeng!$AK$1,FALSE)</f>
        <v>0</v>
      </c>
      <c r="N55" s="439"/>
      <c r="O55" s="1271"/>
      <c r="P55" s="1271"/>
      <c r="Q55" s="1271"/>
      <c r="T55" s="419" t="str">
        <f>IFERROR(VLOOKUP(A55,Poeng!$B$8:$BU$255,Poeng!$E$1,FALSE),"")</f>
        <v>Considerate contruction: clean and tidy building process and checklist A1 (EU taxonomy requirement: criterion 5-6)</v>
      </c>
      <c r="AB55" s="478" t="str">
        <f>Poeng!BQ313</f>
        <v>LE 01</v>
      </c>
      <c r="AC55" s="479">
        <f>IF(D$9=$AA$36,Poeng!BR313,"")</f>
        <v>3</v>
      </c>
      <c r="AD55" s="479" t="str">
        <f>IF(F$9=$AA$36,Poeng!BS313,"")</f>
        <v/>
      </c>
      <c r="AE55" s="480" t="str">
        <f>IF(H$9=$AA$36,Poeng!BT313,"")</f>
        <v/>
      </c>
      <c r="AF55" s="419"/>
      <c r="AG55" s="419"/>
    </row>
    <row r="56" spans="1:33" x14ac:dyDescent="0.25">
      <c r="A56" s="1274" t="s">
        <v>721</v>
      </c>
      <c r="B56" s="1270" t="str">
        <f>VLOOKUP(A56,Poeng!$B$8:$BU$255,Poeng!$C$1,FALSE)</f>
        <v>Man 03</v>
      </c>
      <c r="C56" s="1266" t="s">
        <v>1053</v>
      </c>
      <c r="D56" s="1267"/>
      <c r="E56" s="1267"/>
      <c r="F56" s="1267"/>
      <c r="G56" s="1267"/>
      <c r="H56" s="1267"/>
      <c r="I56" s="1267"/>
      <c r="J56" s="1268">
        <f>VLOOKUP(A56,Poeng!$B$10:$BT$258,Poeng!$BQ$1,FALSE)</f>
        <v>1</v>
      </c>
      <c r="K56" s="1269">
        <f>VLOOKUP(A56,Poeng!$B$10:$BT$258,Poeng!$AI$1,FALSE)</f>
        <v>0</v>
      </c>
      <c r="L56" s="1269">
        <f>VLOOKUP(A56,Poeng!$B$10:$BT$258,Poeng!$AJ$1,FALSE)</f>
        <v>0</v>
      </c>
      <c r="M56" s="1269">
        <f>VLOOKUP(A56,Poeng!$B$10:$BT$258,Poeng!$AK$1,FALSE)</f>
        <v>0</v>
      </c>
      <c r="N56" s="439"/>
      <c r="O56" s="1271"/>
      <c r="P56" s="1271"/>
      <c r="Q56" s="1271"/>
      <c r="T56" s="419" t="str">
        <f>IFERROR(VLOOKUP(A56,Poeng!$B$8:$BU$255,Poeng!$E$1,FALSE),"")</f>
        <v>Considerate contruction: INSTA 800 and checklist A1 (EU taxonomy requirement: criterion 7-9)</v>
      </c>
      <c r="AB56" s="478" t="str">
        <f>Poeng!BQ314</f>
        <v>LE 02</v>
      </c>
      <c r="AC56" s="479">
        <f>IF(D$9=$AA$36,Poeng!BR314,"")</f>
        <v>2</v>
      </c>
      <c r="AD56" s="479" t="str">
        <f>IF(F$9=$AA$36,Poeng!BS314,"")</f>
        <v/>
      </c>
      <c r="AE56" s="480" t="str">
        <f>IF(H$9=$AA$36,Poeng!BT314,"")</f>
        <v/>
      </c>
      <c r="AF56" s="419"/>
      <c r="AG56" s="419"/>
    </row>
    <row r="57" spans="1:33" x14ac:dyDescent="0.25">
      <c r="A57" s="1274"/>
      <c r="B57" s="1271"/>
      <c r="C57" s="1271" t="s">
        <v>1051</v>
      </c>
      <c r="D57" s="1271"/>
      <c r="E57" s="1271"/>
      <c r="F57" s="1271"/>
      <c r="G57" s="1271"/>
      <c r="H57" s="1271"/>
      <c r="I57" s="1271"/>
      <c r="J57" s="1272"/>
      <c r="K57" s="1271"/>
      <c r="L57" s="1271"/>
      <c r="M57" s="1271"/>
      <c r="N57" s="439"/>
      <c r="O57" s="1271"/>
      <c r="P57" s="1271"/>
      <c r="Q57" s="1271"/>
      <c r="T57" s="419" t="str">
        <f>IFERROR(VLOOKUP(A57,Poeng!$B$8:$BU$255,Poeng!$E$1,FALSE),"")</f>
        <v/>
      </c>
      <c r="AB57" s="478" t="str">
        <f>Poeng!BQ315</f>
        <v>LE 04</v>
      </c>
      <c r="AC57" s="479">
        <f>IF(D$9=$AA$36,Poeng!BR315,"")</f>
        <v>4</v>
      </c>
      <c r="AD57" s="479" t="str">
        <f>IF(F$9=$AA$36,Poeng!BS315,"")</f>
        <v/>
      </c>
      <c r="AE57" s="480" t="str">
        <f>IF(H$9=$AA$36,Poeng!BT315,"")</f>
        <v/>
      </c>
    </row>
    <row r="58" spans="1:33" x14ac:dyDescent="0.25">
      <c r="A58" s="1273"/>
      <c r="B58" s="1195" t="s">
        <v>65</v>
      </c>
      <c r="C58" s="1227" t="s">
        <v>1051</v>
      </c>
      <c r="D58" s="1271"/>
      <c r="E58" s="1271"/>
      <c r="F58" s="1271"/>
      <c r="G58" s="1271"/>
      <c r="H58" s="1271"/>
      <c r="I58" s="1271"/>
      <c r="J58" s="1272"/>
      <c r="K58" s="1271"/>
      <c r="L58" s="1271"/>
      <c r="M58" s="1271"/>
      <c r="N58" s="439"/>
      <c r="O58" s="1271"/>
      <c r="P58" s="1271"/>
      <c r="Q58" s="1271"/>
      <c r="T58" s="419" t="str">
        <f>IFERROR(VLOOKUP(A58,Poeng!$B$8:$BU$255,Poeng!$E$1,FALSE),"")</f>
        <v/>
      </c>
      <c r="AB58" s="478" t="str">
        <f>Poeng!BQ316</f>
        <v>LE 06</v>
      </c>
      <c r="AC58" s="479">
        <f>IF(D$9=$AA$36,Poeng!BR316,"")</f>
        <v>3</v>
      </c>
      <c r="AD58" s="479" t="str">
        <f>IF(F$9=$AA$36,Poeng!BS316,"")</f>
        <v/>
      </c>
      <c r="AE58" s="480" t="str">
        <f>IF(H$9=$AA$36,Poeng!BT316,"")</f>
        <v/>
      </c>
    </row>
    <row r="59" spans="1:33" x14ac:dyDescent="0.25">
      <c r="A59" s="1273" t="s">
        <v>735</v>
      </c>
      <c r="B59" s="1265" t="str">
        <f>VLOOKUP(A59,Poeng!$B$8:$BU$255,Poeng!$C$1,FALSE)</f>
        <v>Hea 02</v>
      </c>
      <c r="C59" s="1266" t="s">
        <v>1054</v>
      </c>
      <c r="D59" s="1267"/>
      <c r="E59" s="1267"/>
      <c r="F59" s="1267"/>
      <c r="G59" s="1267"/>
      <c r="H59" s="1267"/>
      <c r="I59" s="1267"/>
      <c r="J59" s="1268">
        <f>IF(Poeng!AB49=0,"N/A",VLOOKUP(A59,Poeng!$B$10:$BT$258,Poeng!$BQ$1,FALSE))</f>
        <v>2</v>
      </c>
      <c r="K59" s="1269">
        <f>IF(Poeng!AB49=0,"N/A",VLOOKUP(A59,Poeng!$B$10:$BT$258,Poeng!$AI$1,FALSE))</f>
        <v>0</v>
      </c>
      <c r="L59" s="1269">
        <f>IF(Poeng!AB49=0,"N/A",VLOOKUP(A59,Poeng!$B$10:$BT$258,Poeng!$AJ$1,FALSE))</f>
        <v>0</v>
      </c>
      <c r="M59" s="1269">
        <f>IF(Poeng!AB49=0,"N/A",VLOOKUP(A59,Poeng!$B$10:$BT$258,Poeng!$AK$1,FALSE))</f>
        <v>0</v>
      </c>
      <c r="N59" s="439"/>
      <c r="O59" s="439"/>
      <c r="P59" s="1271"/>
      <c r="Q59" s="1271"/>
      <c r="T59" s="419" t="str">
        <f>IFERROR(VLOOKUP(A59,Poeng!$B$8:$BU$255,Poeng!$E$1,FALSE),"")</f>
        <v>Emissions from construction products (EU taxonomy requirement: criterion 5)</v>
      </c>
      <c r="AB59" s="1228"/>
      <c r="AC59" s="1228"/>
      <c r="AD59" s="1228"/>
      <c r="AE59" s="1228"/>
    </row>
    <row r="60" spans="1:33" x14ac:dyDescent="0.25">
      <c r="A60" s="1273"/>
      <c r="B60" s="419"/>
      <c r="C60" s="1227" t="s">
        <v>1051</v>
      </c>
      <c r="D60" s="439"/>
      <c r="E60" s="439"/>
      <c r="F60" s="439"/>
      <c r="G60" s="439"/>
      <c r="H60" s="439"/>
      <c r="I60" s="439"/>
      <c r="J60" s="1272"/>
      <c r="K60" s="439"/>
      <c r="L60" s="439"/>
      <c r="M60" s="439"/>
      <c r="N60" s="439"/>
      <c r="O60" s="439"/>
      <c r="P60" s="1271"/>
      <c r="Q60" s="1271"/>
      <c r="T60" s="419" t="str">
        <f>IFERROR(VLOOKUP(A60,Poeng!$B$8:$BU$255,Poeng!$E$1,FALSE),"")</f>
        <v/>
      </c>
    </row>
    <row r="61" spans="1:33" x14ac:dyDescent="0.25">
      <c r="A61" s="1273"/>
      <c r="B61" s="1195" t="s">
        <v>66</v>
      </c>
      <c r="C61" s="1227" t="s">
        <v>1051</v>
      </c>
      <c r="D61" s="439"/>
      <c r="E61" s="439"/>
      <c r="F61" s="439"/>
      <c r="G61" s="439"/>
      <c r="H61" s="439"/>
      <c r="I61" s="439"/>
      <c r="J61" s="1272"/>
      <c r="K61" s="439"/>
      <c r="L61" s="439"/>
      <c r="M61" s="439"/>
      <c r="N61" s="439"/>
      <c r="O61" s="439"/>
      <c r="P61" s="1271"/>
      <c r="Q61" s="439"/>
      <c r="T61" s="419" t="str">
        <f>IFERROR(VLOOKUP(A61,Poeng!$B$8:$BU$255,Poeng!$E$1,FALSE),"")</f>
        <v/>
      </c>
      <c r="AB61" s="420" t="s">
        <v>1025</v>
      </c>
      <c r="AC61" s="420">
        <v>5</v>
      </c>
    </row>
    <row r="62" spans="1:33" x14ac:dyDescent="0.25">
      <c r="A62" s="1273" t="s">
        <v>1019</v>
      </c>
      <c r="B62" s="1265" t="str">
        <f>VLOOKUP(A62,Poeng!$B$8:$BU$255,Poeng!$C$1,FALSE)</f>
        <v>Ene 01</v>
      </c>
      <c r="C62" s="1266" t="s">
        <v>1142</v>
      </c>
      <c r="D62" s="1267"/>
      <c r="E62" s="1267"/>
      <c r="F62" s="1267"/>
      <c r="G62" s="1267"/>
      <c r="H62" s="1267"/>
      <c r="I62" s="1267"/>
      <c r="J62" s="1268" t="str">
        <f>VLOOKUP(A62,Poeng!$B$10:$BT$258,Poeng!$BQ$1,FALSE)</f>
        <v>Yes</v>
      </c>
      <c r="K62" s="1269">
        <f>VLOOKUP(A62,Poeng!$B$10:$BT$258,Poeng!$AI$1,FALSE)</f>
        <v>0</v>
      </c>
      <c r="L62" s="1269">
        <f>VLOOKUP(A62,Poeng!$B$10:$BT$258,Poeng!$AJ$1,FALSE)</f>
        <v>0</v>
      </c>
      <c r="M62" s="1269">
        <f>VLOOKUP(A62,Poeng!$B$10:$BT$258,Poeng!$AK$1,FALSE)</f>
        <v>0</v>
      </c>
      <c r="N62" s="439"/>
      <c r="O62" s="439"/>
      <c r="P62" s="439"/>
      <c r="Q62" s="439"/>
      <c r="T62" s="419" t="str">
        <f>IFERROR(VLOOKUP(A62,Poeng!$B$8:$BU$255,Poeng!$E$1,FALSE),"")</f>
        <v>EU taxonomy requirements: criterion 9 and 10 - Energy performance</v>
      </c>
      <c r="AB62" s="420" t="s">
        <v>1026</v>
      </c>
    </row>
    <row r="63" spans="1:33" x14ac:dyDescent="0.25">
      <c r="A63" s="1273" t="s">
        <v>748</v>
      </c>
      <c r="B63" s="1294" t="str">
        <f>VLOOKUP(A63,Poeng!$B$8:$BU$260,Poeng!$C$1,FALSE)</f>
        <v>Ene 01</v>
      </c>
      <c r="C63" s="1295" t="s">
        <v>1145</v>
      </c>
      <c r="D63" s="1267"/>
      <c r="E63" s="1267"/>
      <c r="F63" s="1267"/>
      <c r="G63" s="1267"/>
      <c r="H63" s="1267"/>
      <c r="I63" s="1267"/>
      <c r="J63" s="1268">
        <f>VLOOKUP(A63,Poeng!$B$10:$BT$258,Poeng!$BQ$1,FALSE)</f>
        <v>1</v>
      </c>
      <c r="K63" s="1269">
        <f>VLOOKUP(A63,Poeng!$B$10:$BT$258,Poeng!$AI$1,FALSE)</f>
        <v>0</v>
      </c>
      <c r="L63" s="1269">
        <f>VLOOKUP(A63,Poeng!$B$10:$BT$258,Poeng!$AJ$1,FALSE)</f>
        <v>0</v>
      </c>
      <c r="M63" s="1269">
        <f>VLOOKUP(A63,Poeng!$B$10:$BT$258,Poeng!$AK$1,FALSE)</f>
        <v>0</v>
      </c>
      <c r="N63" s="439"/>
      <c r="O63" s="439"/>
      <c r="P63" s="1264"/>
      <c r="Q63" s="439"/>
      <c r="T63" s="419" t="str">
        <f>IFERROR(VLOOKUP(A63,Poeng!$B$8:$BU$255,Poeng!$E$1,FALSE),"")</f>
        <v>Adaptation to EU taxonomy (EU taxonomy requirements: criterion 12)</v>
      </c>
    </row>
    <row r="64" spans="1:33" x14ac:dyDescent="0.25">
      <c r="A64" s="1273"/>
      <c r="B64" s="419"/>
      <c r="C64" s="1227" t="s">
        <v>1051</v>
      </c>
      <c r="D64" s="439"/>
      <c r="E64" s="439"/>
      <c r="F64" s="439"/>
      <c r="G64" s="439"/>
      <c r="H64" s="439"/>
      <c r="I64" s="439"/>
      <c r="J64" s="1272"/>
      <c r="K64" s="439"/>
      <c r="L64" s="439"/>
      <c r="M64" s="439"/>
      <c r="N64" s="439"/>
      <c r="O64" s="439"/>
      <c r="P64" s="439"/>
      <c r="Q64" s="439"/>
      <c r="T64" s="419" t="str">
        <f>IFERROR(VLOOKUP(A64,Poeng!$B$8:$BU$255,Poeng!$E$1,FALSE),"")</f>
        <v/>
      </c>
    </row>
    <row r="65" spans="1:20" x14ac:dyDescent="0.25">
      <c r="A65" s="1273"/>
      <c r="B65" s="1195" t="s">
        <v>59</v>
      </c>
      <c r="C65" s="1227" t="s">
        <v>1051</v>
      </c>
      <c r="D65" s="439"/>
      <c r="E65" s="439"/>
      <c r="F65" s="439"/>
      <c r="G65" s="439"/>
      <c r="H65" s="439"/>
      <c r="I65" s="439"/>
      <c r="J65" s="1272"/>
      <c r="K65" s="439"/>
      <c r="L65" s="439"/>
      <c r="M65" s="439"/>
      <c r="N65" s="439"/>
      <c r="O65" s="439"/>
      <c r="P65" s="439"/>
      <c r="Q65" s="439"/>
      <c r="T65" s="419" t="str">
        <f>IFERROR(VLOOKUP(A65,Poeng!$B$8:$BU$255,Poeng!$E$1,FALSE),"")</f>
        <v/>
      </c>
    </row>
    <row r="66" spans="1:20" x14ac:dyDescent="0.25">
      <c r="A66" s="1273" t="s">
        <v>1020</v>
      </c>
      <c r="B66" s="1265" t="str">
        <f>VLOOKUP(A66,Poeng!$B$8:$BU$255,Poeng!$C$1,FALSE)</f>
        <v>Wat 01</v>
      </c>
      <c r="C66" s="1266" t="s">
        <v>1164</v>
      </c>
      <c r="D66" s="1267"/>
      <c r="E66" s="1267"/>
      <c r="F66" s="1267"/>
      <c r="G66" s="1267"/>
      <c r="H66" s="1267"/>
      <c r="I66" s="1267"/>
      <c r="J66" s="1268" t="str">
        <f>IF(Poeng!AB254=0,"N/A",VLOOKUP(A66,Poeng!$B$10:$BT$258,Poeng!$BQ$1,FALSE))</f>
        <v>Yes</v>
      </c>
      <c r="K66" s="1269">
        <f>IF(Poeng!AB254=0,"N/A",VLOOKUP(A66,Poeng!$B$10:$BT$258,Poeng!$AI$1,FALSE))</f>
        <v>0</v>
      </c>
      <c r="L66" s="1269">
        <f>IF(Poeng!AB254=0,"N/A",VLOOKUP(A66,Poeng!$B$10:$BT$258,Poeng!$AJ$1,FALSE))</f>
        <v>0</v>
      </c>
      <c r="M66" s="1269">
        <f>IF(Poeng!AB254=0,"N/A",VLOOKUP(A66,Poeng!$B$10:$BT$258,Poeng!$AK$1,FALSE))</f>
        <v>0</v>
      </c>
      <c r="N66" s="439"/>
      <c r="O66" s="439"/>
      <c r="P66" s="439"/>
      <c r="Q66" s="439"/>
      <c r="T66" s="419" t="str">
        <f>IFERROR(VLOOKUP(A66,Poeng!$B$8:$BU$255,Poeng!$E$1,FALSE),"")</f>
        <v>EU taxonomy requirements: criterion 2</v>
      </c>
    </row>
    <row r="67" spans="1:20" x14ac:dyDescent="0.25">
      <c r="A67" s="1273"/>
      <c r="B67" s="419"/>
      <c r="C67" s="1227" t="s">
        <v>1051</v>
      </c>
      <c r="D67" s="439"/>
      <c r="E67" s="439"/>
      <c r="F67" s="439"/>
      <c r="G67" s="439"/>
      <c r="H67" s="439"/>
      <c r="I67" s="439"/>
      <c r="J67" s="1272"/>
      <c r="K67" s="439"/>
      <c r="L67" s="439"/>
      <c r="M67" s="439"/>
      <c r="N67" s="439"/>
      <c r="O67" s="439"/>
      <c r="P67" s="1264"/>
      <c r="Q67" s="439"/>
      <c r="T67" s="419" t="str">
        <f>IFERROR(VLOOKUP(A67,Poeng!$B$8:$BU$255,Poeng!$E$1,FALSE),"")</f>
        <v/>
      </c>
    </row>
    <row r="68" spans="1:20" x14ac:dyDescent="0.25">
      <c r="A68" s="1273"/>
      <c r="B68" s="1195" t="s">
        <v>68</v>
      </c>
      <c r="C68" s="1227" t="s">
        <v>1051</v>
      </c>
      <c r="D68" s="439"/>
      <c r="E68" s="439"/>
      <c r="F68" s="439"/>
      <c r="G68" s="439"/>
      <c r="H68" s="439"/>
      <c r="I68" s="439"/>
      <c r="J68" s="1272"/>
      <c r="K68" s="439"/>
      <c r="L68" s="439"/>
      <c r="M68" s="439"/>
      <c r="N68" s="439"/>
      <c r="O68" s="439"/>
      <c r="P68" s="439"/>
      <c r="Q68" s="439"/>
      <c r="T68" s="419" t="str">
        <f>IFERROR(VLOOKUP(A68,Poeng!$B$8:$BU$255,Poeng!$E$1,FALSE),"")</f>
        <v/>
      </c>
    </row>
    <row r="69" spans="1:20" x14ac:dyDescent="0.25">
      <c r="A69" s="1273" t="s">
        <v>773</v>
      </c>
      <c r="B69" s="1265" t="str">
        <f>VLOOKUP(A69,Poeng!$B$8:$BU$255,Poeng!$C$1,FALSE)</f>
        <v>Mat 02</v>
      </c>
      <c r="C69" s="1266" t="s">
        <v>1055</v>
      </c>
      <c r="D69" s="1267"/>
      <c r="E69" s="1267"/>
      <c r="F69" s="1267"/>
      <c r="G69" s="1267"/>
      <c r="H69" s="1267"/>
      <c r="I69" s="1267"/>
      <c r="J69" s="1268" t="str">
        <f>VLOOKUP(A69,Poeng!$B$10:$BT$258,Poeng!$BQ$1,FALSE)</f>
        <v>Yes</v>
      </c>
      <c r="K69" s="1269">
        <f>VLOOKUP(A69,Poeng!$B$10:$BT$258,Poeng!$AI$1,FALSE)</f>
        <v>0</v>
      </c>
      <c r="L69" s="1269">
        <f>VLOOKUP(A69,Poeng!$B$10:$BT$258,Poeng!$AJ$1,FALSE)</f>
        <v>0</v>
      </c>
      <c r="M69" s="1269">
        <f>VLOOKUP(A69,Poeng!$B$10:$BT$258,Poeng!$AK$1,FALSE)</f>
        <v>0</v>
      </c>
      <c r="N69" s="439"/>
      <c r="O69" s="439"/>
      <c r="P69" s="439"/>
      <c r="Q69" s="439"/>
      <c r="T69" s="419" t="str">
        <f>IFERROR(VLOOKUP(A69,Poeng!$B$8:$BU$255,Poeng!$E$1,FALSE),"")</f>
        <v>Minimum req: absence of environmental toxins (EU taxonomy requirement: criterion 1)</v>
      </c>
    </row>
    <row r="70" spans="1:20" x14ac:dyDescent="0.25">
      <c r="A70" s="1273" t="s">
        <v>1024</v>
      </c>
      <c r="B70" s="1265" t="str">
        <f>VLOOKUP(A70,Poeng!$B$8:$BU$255,Poeng!$C$1,FALSE)</f>
        <v>Mat 06</v>
      </c>
      <c r="C70" s="1266" t="s">
        <v>1157</v>
      </c>
      <c r="D70" s="1267"/>
      <c r="E70" s="1267"/>
      <c r="F70" s="1267"/>
      <c r="G70" s="1267"/>
      <c r="H70" s="1267"/>
      <c r="I70" s="1267"/>
      <c r="J70" s="1268" t="str">
        <f>IF(Poeng!AB145=0,"N/A",VLOOKUP(A70,Poeng!$B$10:$BT$258,Poeng!$BQ$1,FALSE))</f>
        <v>Yes</v>
      </c>
      <c r="K70" s="1269">
        <f>IF(Poeng!AB145=0,"N/A",VLOOKUP(A70,Poeng!$B$10:$BT$258,Poeng!$AI$1,FALSE))</f>
        <v>0</v>
      </c>
      <c r="L70" s="1269">
        <f>IF(Poeng!AB145=0,"N/A",VLOOKUP(A70,Poeng!$B$10:$BT$258,Poeng!$AJ$1,FALSE))</f>
        <v>0</v>
      </c>
      <c r="M70" s="1269">
        <f>IF(Poeng!AB145=0,"N/A",VLOOKUP(A70,Poeng!$B$10:$BT$258,Poeng!$AK$1,FALSE))</f>
        <v>0</v>
      </c>
      <c r="N70" s="439"/>
      <c r="O70" s="439"/>
      <c r="P70" s="439"/>
      <c r="Q70" s="439"/>
      <c r="T70" s="419" t="str">
        <f>IFERROR(VLOOKUP(A70,Poeng!$B$8:$BU$255,Poeng!$E$1,FALSE),"")</f>
        <v>Minimum req: mapping for component reuse - criterion 1 (EU taxonomy requirement: criterion 1)</v>
      </c>
    </row>
    <row r="71" spans="1:20" x14ac:dyDescent="0.25">
      <c r="A71" s="1273" t="s">
        <v>787</v>
      </c>
      <c r="B71" s="1265" t="str">
        <f>VLOOKUP(A71,Poeng!$B$8:$BU$255,Poeng!$C$1,FALSE)</f>
        <v>Mat 07</v>
      </c>
      <c r="C71" s="1266" t="s">
        <v>1064</v>
      </c>
      <c r="D71" s="1267"/>
      <c r="E71" s="1267"/>
      <c r="F71" s="1267"/>
      <c r="G71" s="1267"/>
      <c r="H71" s="1267"/>
      <c r="I71" s="1267"/>
      <c r="J71" s="1268">
        <f>VLOOKUP(A71,Poeng!$B$10:$BT$258,Poeng!$BQ$1,FALSE)</f>
        <v>1</v>
      </c>
      <c r="K71" s="1269">
        <f>VLOOKUP(A71,Poeng!$B$10:$BT$258,Poeng!$AI$1,FALSE)</f>
        <v>0</v>
      </c>
      <c r="L71" s="1269">
        <f>VLOOKUP(A71,Poeng!$B$10:$BT$258,Poeng!$AJ$1,FALSE)</f>
        <v>0</v>
      </c>
      <c r="M71" s="1269">
        <f>VLOOKUP(A71,Poeng!$B$10:$BT$258,Poeng!$AK$1,FALSE)</f>
        <v>0</v>
      </c>
      <c r="N71" s="439"/>
      <c r="O71" s="439"/>
      <c r="P71" s="439"/>
      <c r="Q71" s="439"/>
      <c r="T71" s="419" t="str">
        <f>IFERROR(VLOOKUP(A71,Poeng!$B$8:$BU$255,Poeng!$E$1,FALSE),"")</f>
        <v>Design for disassembly and functional adaptability - recommendations (EU taxonomy requirement: criterion 2-3)</v>
      </c>
    </row>
    <row r="72" spans="1:20" x14ac:dyDescent="0.25">
      <c r="A72" s="1273" t="s">
        <v>788</v>
      </c>
      <c r="B72" s="1265" t="str">
        <f>VLOOKUP(A72,Poeng!$B$8:$BU$255,Poeng!$C$1,FALSE)</f>
        <v>Mat 07</v>
      </c>
      <c r="C72" s="1266" t="s">
        <v>1065</v>
      </c>
      <c r="D72" s="1267"/>
      <c r="E72" s="1267"/>
      <c r="F72" s="1267"/>
      <c r="G72" s="1267"/>
      <c r="H72" s="1267"/>
      <c r="I72" s="1267"/>
      <c r="J72" s="1268">
        <f>VLOOKUP(A72,Poeng!$B$10:$BT$258,Poeng!$BQ$1,FALSE)</f>
        <v>1</v>
      </c>
      <c r="K72" s="1269">
        <f>VLOOKUP(A72,Poeng!$B$10:$BT$258,Poeng!$AI$1,FALSE)</f>
        <v>0</v>
      </c>
      <c r="L72" s="1269">
        <f>VLOOKUP(A72,Poeng!$B$10:$BT$258,Poeng!$AJ$1,FALSE)</f>
        <v>0</v>
      </c>
      <c r="M72" s="1269">
        <f>VLOOKUP(A72,Poeng!$B$10:$BT$258,Poeng!$AK$1,FALSE)</f>
        <v>0</v>
      </c>
      <c r="N72" s="439"/>
      <c r="O72" s="439"/>
      <c r="P72" s="439"/>
      <c r="Q72" s="439"/>
      <c r="T72" s="419" t="str">
        <f>IFERROR(VLOOKUP(A72,Poeng!$B$8:$BU$255,Poeng!$E$1,FALSE),"")</f>
        <v>Disassembly and functional adaptability - implementation (EU taxonomy requirement: criterion 4-6)</v>
      </c>
    </row>
    <row r="73" spans="1:20" x14ac:dyDescent="0.25">
      <c r="A73" s="1273"/>
      <c r="B73" s="419"/>
      <c r="C73" s="1227" t="s">
        <v>1051</v>
      </c>
      <c r="D73" s="439"/>
      <c r="E73" s="439"/>
      <c r="F73" s="439"/>
      <c r="G73" s="439"/>
      <c r="H73" s="439"/>
      <c r="I73" s="439"/>
      <c r="J73" s="1272"/>
      <c r="K73" s="439"/>
      <c r="L73" s="439"/>
      <c r="M73" s="439"/>
      <c r="N73" s="439"/>
      <c r="O73" s="439"/>
      <c r="P73" s="439"/>
      <c r="Q73" s="439"/>
      <c r="T73" s="419" t="str">
        <f>IFERROR(VLOOKUP(A73,Poeng!$B$8:$BU$255,Poeng!$E$1,FALSE),"")</f>
        <v/>
      </c>
    </row>
    <row r="74" spans="1:20" x14ac:dyDescent="0.25">
      <c r="A74" s="1273"/>
      <c r="B74" s="1195" t="s">
        <v>69</v>
      </c>
      <c r="C74" s="1227" t="s">
        <v>1051</v>
      </c>
      <c r="D74" s="439"/>
      <c r="E74" s="439"/>
      <c r="F74" s="439"/>
      <c r="G74" s="439"/>
      <c r="H74" s="439"/>
      <c r="I74" s="439"/>
      <c r="J74" s="1272"/>
      <c r="K74" s="439"/>
      <c r="L74" s="439"/>
      <c r="M74" s="439"/>
      <c r="N74" s="439"/>
      <c r="O74" s="439"/>
      <c r="P74" s="439"/>
      <c r="Q74" s="439"/>
      <c r="T74" s="419" t="str">
        <f>IFERROR(VLOOKUP(A74,Poeng!$B$8:$BU$255,Poeng!$E$1,FALSE),"")</f>
        <v/>
      </c>
    </row>
    <row r="75" spans="1:20" x14ac:dyDescent="0.25">
      <c r="A75" s="1273" t="s">
        <v>1021</v>
      </c>
      <c r="B75" s="1265" t="str">
        <f>VLOOKUP(A75,Poeng!$B$8:$BU$255,Poeng!$C$1,FALSE)</f>
        <v>Wst 01</v>
      </c>
      <c r="C75" s="1266" t="s">
        <v>1023</v>
      </c>
      <c r="D75" s="1267"/>
      <c r="E75" s="1267"/>
      <c r="F75" s="1267"/>
      <c r="G75" s="1267"/>
      <c r="H75" s="1267"/>
      <c r="I75" s="1267"/>
      <c r="J75" s="1268" t="str">
        <f>VLOOKUP(A75,Poeng!$B$10:$BT$258,Poeng!$BQ$1,FALSE)</f>
        <v>Yes</v>
      </c>
      <c r="K75" s="1269">
        <f>VLOOKUP(A75,Poeng!$B$10:$BT$258,Poeng!$AI$1,FALSE)</f>
        <v>0</v>
      </c>
      <c r="L75" s="1269">
        <f>VLOOKUP(A75,Poeng!$B$10:$BT$258,Poeng!$AJ$1,FALSE)</f>
        <v>0</v>
      </c>
      <c r="M75" s="1269">
        <f>VLOOKUP(A75,Poeng!$B$10:$BT$258,Poeng!$AK$1,FALSE)</f>
        <v>0</v>
      </c>
      <c r="N75" s="439"/>
      <c r="O75" s="439"/>
      <c r="P75" s="439"/>
      <c r="Q75" s="439"/>
      <c r="T75" s="419" t="str">
        <f>IFERROR(VLOOKUP(A75,Poeng!$B$8:$BU$255,Poeng!$E$1,FALSE),"")</f>
        <v>EU taxonomy requirement: criterion 1</v>
      </c>
    </row>
    <row r="76" spans="1:20" x14ac:dyDescent="0.25">
      <c r="A76" s="1273" t="s">
        <v>980</v>
      </c>
      <c r="B76" s="1265" t="str">
        <f>VLOOKUP(A76,Poeng!$B$8:$BU$255,Poeng!$C$1,FALSE)</f>
        <v>Wst 01</v>
      </c>
      <c r="C76" s="1266" t="s">
        <v>1056</v>
      </c>
      <c r="D76" s="1267"/>
      <c r="E76" s="1267"/>
      <c r="F76" s="1267"/>
      <c r="G76" s="1267"/>
      <c r="H76" s="1267"/>
      <c r="I76" s="1267"/>
      <c r="J76" s="1268" t="str">
        <f>VLOOKUP(A76,Poeng!$B$10:$BT$258,Poeng!$BQ$1,FALSE)</f>
        <v>Yes</v>
      </c>
      <c r="K76" s="1269">
        <f>VLOOKUP(A76,Poeng!$B$10:$BT$258,Poeng!$AI$1,FALSE)</f>
        <v>0</v>
      </c>
      <c r="L76" s="1269">
        <f>VLOOKUP(A76,Poeng!$B$10:$BT$258,Poeng!$AJ$1,FALSE)</f>
        <v>0</v>
      </c>
      <c r="M76" s="1269">
        <f>VLOOKUP(A76,Poeng!$B$10:$BT$258,Poeng!$AK$1,FALSE)</f>
        <v>0</v>
      </c>
      <c r="N76" s="439"/>
      <c r="O76" s="439"/>
      <c r="P76" s="439"/>
      <c r="Q76" s="439"/>
      <c r="T76" s="419" t="str">
        <f>IFERROR(VLOOKUP(A76,Poeng!$B$8:$BU$255,Poeng!$E$1,FALSE),"")</f>
        <v>EU taxonomy requirement: criterion 4, ready for reuse &gt;70%</v>
      </c>
    </row>
    <row r="77" spans="1:20" x14ac:dyDescent="0.25">
      <c r="A77" s="1273"/>
      <c r="B77" s="419"/>
      <c r="C77" s="1227" t="s">
        <v>1051</v>
      </c>
      <c r="D77" s="439"/>
      <c r="E77" s="439"/>
      <c r="F77" s="439"/>
      <c r="G77" s="439"/>
      <c r="H77" s="439"/>
      <c r="I77" s="439"/>
      <c r="J77" s="1272"/>
      <c r="K77" s="439"/>
      <c r="L77" s="439"/>
      <c r="M77" s="439"/>
      <c r="N77" s="439"/>
      <c r="O77" s="439"/>
      <c r="P77" s="439"/>
      <c r="Q77" s="439"/>
      <c r="T77" s="419" t="str">
        <f>IFERROR(VLOOKUP(A77,Poeng!$B$8:$BU$255,Poeng!$E$1,FALSE),"")</f>
        <v/>
      </c>
    </row>
    <row r="78" spans="1:20" x14ac:dyDescent="0.25">
      <c r="A78" s="1273"/>
      <c r="B78" s="1195" t="s">
        <v>70</v>
      </c>
      <c r="C78" s="1227" t="s">
        <v>1051</v>
      </c>
      <c r="D78" s="439"/>
      <c r="E78" s="439"/>
      <c r="F78" s="439"/>
      <c r="G78" s="439"/>
      <c r="H78" s="439"/>
      <c r="I78" s="439"/>
      <c r="J78" s="1272"/>
      <c r="K78" s="419"/>
      <c r="L78" s="439"/>
      <c r="M78" s="439"/>
      <c r="N78" s="439"/>
      <c r="O78" s="439"/>
      <c r="P78" s="439"/>
      <c r="Q78" s="439"/>
      <c r="T78" s="419" t="str">
        <f>IFERROR(VLOOKUP(A78,Poeng!$B$8:$BU$255,Poeng!$E$1,FALSE),"")</f>
        <v/>
      </c>
    </row>
    <row r="79" spans="1:20" x14ac:dyDescent="0.25">
      <c r="A79" s="1273" t="s">
        <v>981</v>
      </c>
      <c r="B79" s="1265" t="str">
        <f>VLOOKUP(A79,Poeng!$B$8:$BU$255,Poeng!$C$1,FALSE)</f>
        <v>LE 01</v>
      </c>
      <c r="C79" s="1266" t="s">
        <v>1057</v>
      </c>
      <c r="D79" s="1267"/>
      <c r="E79" s="1267"/>
      <c r="F79" s="1267"/>
      <c r="G79" s="1267"/>
      <c r="H79" s="1267"/>
      <c r="I79" s="1267"/>
      <c r="J79" s="1268" t="str">
        <f>VLOOKUP(A79,Poeng!$B$10:$BT$258,Poeng!$BQ$1,FALSE)</f>
        <v>Yes</v>
      </c>
      <c r="K79" s="1269">
        <f>VLOOKUP(A79,Poeng!$B$10:$BT$258,Poeng!$AI$1,FALSE)</f>
        <v>0</v>
      </c>
      <c r="L79" s="1269">
        <f>VLOOKUP(A79,Poeng!$B$10:$BT$258,Poeng!$AJ$1,FALSE)</f>
        <v>0</v>
      </c>
      <c r="M79" s="1269">
        <f>VLOOKUP(A79,Poeng!$B$10:$BT$258,Poeng!$AK$1,FALSE)</f>
        <v>0</v>
      </c>
      <c r="N79" s="439"/>
      <c r="O79" s="439"/>
      <c r="P79" s="439"/>
      <c r="Q79" s="439"/>
      <c r="T79" s="419" t="str">
        <f>IFERROR(VLOOKUP(A79,Poeng!$B$8:$BU$255,Poeng!$E$1,FALSE),"")</f>
        <v>Minimum req: agricultural area / forest (EU taxonomy requirement: criterion 2)</v>
      </c>
    </row>
    <row r="80" spans="1:20" x14ac:dyDescent="0.25">
      <c r="A80" s="1273" t="s">
        <v>799</v>
      </c>
      <c r="B80" s="1265" t="str">
        <f>VLOOKUP(A80,Poeng!$B$8:$BU$255,Poeng!$C$1,FALSE)</f>
        <v>LE 02</v>
      </c>
      <c r="C80" s="1266" t="s">
        <v>1058</v>
      </c>
      <c r="D80" s="1267"/>
      <c r="E80" s="1267"/>
      <c r="F80" s="1267"/>
      <c r="G80" s="1267"/>
      <c r="H80" s="1267"/>
      <c r="I80" s="1267"/>
      <c r="J80" s="1268">
        <f>VLOOKUP(A80,Poeng!$B$10:$BT$258,Poeng!$BQ$1,FALSE)</f>
        <v>1</v>
      </c>
      <c r="K80" s="1269">
        <f>VLOOKUP(A80,Poeng!$B$10:$BT$258,Poeng!$AI$1,FALSE)</f>
        <v>0</v>
      </c>
      <c r="L80" s="1269">
        <f>VLOOKUP(A80,Poeng!$B$10:$BT$258,Poeng!$AJ$1,FALSE)</f>
        <v>0</v>
      </c>
      <c r="M80" s="1269">
        <f>VLOOKUP(A80,Poeng!$B$10:$BT$258,Poeng!$AK$1,FALSE)</f>
        <v>0</v>
      </c>
      <c r="N80" s="439"/>
      <c r="O80" s="439"/>
      <c r="P80" s="439"/>
      <c r="Q80" s="439"/>
      <c r="T80" s="419" t="str">
        <f>IFERROR(VLOOKUP(A80,Poeng!$B$8:$BU$255,Poeng!$E$1,FALSE),"")</f>
        <v>Survey and evaluation (EU taxonomy requirement: criterion 2-4)</v>
      </c>
    </row>
    <row r="81" spans="1:20" x14ac:dyDescent="0.25">
      <c r="A81" s="1273" t="s">
        <v>810</v>
      </c>
      <c r="B81" s="1265" t="str">
        <f>VLOOKUP(A81,Poeng!$B$8:$BU$255,Poeng!$C$1,FALSE)</f>
        <v>LE 06</v>
      </c>
      <c r="C81" s="1266" t="s">
        <v>1059</v>
      </c>
      <c r="D81" s="1267"/>
      <c r="E81" s="1267"/>
      <c r="F81" s="1267"/>
      <c r="G81" s="1267"/>
      <c r="H81" s="1267"/>
      <c r="I81" s="1267"/>
      <c r="J81" s="1268">
        <f>VLOOKUP(A81,Poeng!$B$10:$BT$258,Poeng!$BQ$1,FALSE)</f>
        <v>1</v>
      </c>
      <c r="K81" s="1269">
        <f>VLOOKUP(A81,Poeng!$B$10:$BT$258,Poeng!$AI$1,FALSE)</f>
        <v>0</v>
      </c>
      <c r="L81" s="1269">
        <f>VLOOKUP(A81,Poeng!$B$10:$BT$258,Poeng!$AJ$1,FALSE)</f>
        <v>0</v>
      </c>
      <c r="M81" s="1269">
        <f>VLOOKUP(A81,Poeng!$B$10:$BT$258,Poeng!$AK$1,FALSE)</f>
        <v>0</v>
      </c>
      <c r="N81" s="439"/>
      <c r="O81" s="439"/>
      <c r="P81" s="439"/>
      <c r="Q81" s="439"/>
      <c r="T81" s="419" t="str">
        <f>IFERROR(VLOOKUP(A81,Poeng!$B$8:$BU$255,Poeng!$E$1,FALSE),"")</f>
        <v>Risk assessment (EU taxonomy requirement: criterion 1-6)</v>
      </c>
    </row>
    <row r="82" spans="1:20" x14ac:dyDescent="0.25">
      <c r="A82" s="1273"/>
      <c r="B82" s="439"/>
      <c r="C82" s="439"/>
      <c r="D82" s="439"/>
      <c r="E82" s="439"/>
      <c r="F82" s="439"/>
      <c r="G82" s="439"/>
      <c r="H82" s="439"/>
      <c r="I82" s="439"/>
      <c r="J82" s="419"/>
      <c r="K82" s="439"/>
      <c r="L82" s="439"/>
      <c r="M82" s="439"/>
      <c r="N82" s="439"/>
      <c r="O82" s="439"/>
      <c r="P82" s="439"/>
      <c r="Q82" s="439"/>
      <c r="T82" s="419" t="str">
        <f>IFERROR(VLOOKUP(A82,Poeng!$B$8:$BU$255,Poeng!$E$1,FALSE),"")</f>
        <v/>
      </c>
    </row>
    <row r="83" spans="1:20" x14ac:dyDescent="0.25">
      <c r="A83" s="825"/>
      <c r="B83" s="439"/>
      <c r="C83" s="439"/>
      <c r="D83" s="439"/>
      <c r="E83" s="439"/>
      <c r="F83" s="439"/>
      <c r="G83" s="439"/>
      <c r="H83" s="439"/>
      <c r="I83" s="439"/>
      <c r="J83" s="439"/>
      <c r="K83" s="439"/>
      <c r="L83" s="439"/>
      <c r="M83" s="439"/>
      <c r="N83" s="439"/>
      <c r="O83" s="439"/>
      <c r="P83" s="439"/>
      <c r="Q83" s="439"/>
      <c r="T83" s="419" t="str">
        <f>IFERROR(VLOOKUP(A83,Poeng!$B$8:$BU$255,Poeng!$E$1,FALSE),"")</f>
        <v/>
      </c>
    </row>
    <row r="84" spans="1:20" x14ac:dyDescent="0.25">
      <c r="A84" s="825"/>
      <c r="B84" s="439"/>
      <c r="C84" s="439"/>
      <c r="D84" s="439"/>
      <c r="E84" s="439"/>
      <c r="F84" s="439"/>
      <c r="G84" s="439"/>
      <c r="H84" s="439"/>
      <c r="I84" s="439"/>
      <c r="J84" s="439"/>
      <c r="K84" s="439"/>
      <c r="L84" s="439"/>
      <c r="M84" s="439"/>
      <c r="N84" s="439"/>
      <c r="O84" s="439"/>
      <c r="P84" s="439"/>
      <c r="Q84" s="439"/>
    </row>
    <row r="85" spans="1:20" x14ac:dyDescent="0.25">
      <c r="A85" s="825"/>
      <c r="B85" s="439"/>
      <c r="C85" s="439"/>
      <c r="D85" s="439"/>
      <c r="E85" s="439"/>
      <c r="F85" s="439"/>
      <c r="G85" s="439"/>
      <c r="H85" s="439"/>
      <c r="I85" s="439"/>
      <c r="J85" s="439"/>
      <c r="K85" s="419"/>
      <c r="L85" s="439"/>
      <c r="M85" s="439"/>
      <c r="N85" s="439"/>
      <c r="O85" s="439"/>
      <c r="P85" s="439"/>
      <c r="Q85" s="439"/>
    </row>
    <row r="86" spans="1:20" x14ac:dyDescent="0.25">
      <c r="A86" s="825"/>
      <c r="B86" s="439"/>
      <c r="C86" s="439"/>
      <c r="D86" s="439"/>
      <c r="E86" s="439"/>
      <c r="F86" s="439"/>
      <c r="G86" s="439"/>
      <c r="H86" s="439"/>
      <c r="I86" s="439"/>
      <c r="J86" s="439"/>
      <c r="K86" s="439"/>
      <c r="L86" s="439"/>
      <c r="M86" s="439"/>
      <c r="N86" s="439"/>
      <c r="O86" s="439"/>
      <c r="P86" s="439"/>
      <c r="Q86" s="439"/>
    </row>
    <row r="87" spans="1:20" x14ac:dyDescent="0.25">
      <c r="A87" s="825"/>
      <c r="B87" s="439"/>
      <c r="C87" s="439"/>
      <c r="D87" s="439"/>
      <c r="E87" s="439"/>
      <c r="F87" s="439"/>
      <c r="G87" s="439"/>
      <c r="H87" s="439"/>
      <c r="I87" s="439"/>
      <c r="J87" s="439"/>
      <c r="K87" s="439"/>
      <c r="L87" s="439"/>
      <c r="M87" s="439"/>
      <c r="N87" s="439"/>
      <c r="O87" s="439"/>
      <c r="P87" s="439"/>
      <c r="Q87" s="439"/>
    </row>
    <row r="88" spans="1:20" x14ac:dyDescent="0.25">
      <c r="A88" s="825"/>
      <c r="B88" s="439"/>
      <c r="C88" s="439"/>
      <c r="D88" s="439"/>
      <c r="E88" s="439"/>
      <c r="F88" s="439"/>
      <c r="G88" s="439"/>
      <c r="H88" s="439"/>
      <c r="I88" s="439"/>
      <c r="J88" s="439"/>
      <c r="K88" s="439"/>
      <c r="L88" s="439"/>
      <c r="M88" s="439"/>
      <c r="N88" s="439"/>
      <c r="O88" s="439"/>
      <c r="P88" s="439"/>
      <c r="Q88" s="439"/>
    </row>
    <row r="89" spans="1:20" x14ac:dyDescent="0.25">
      <c r="A89" s="825"/>
      <c r="B89" s="439"/>
      <c r="C89" s="439"/>
      <c r="D89" s="439"/>
      <c r="E89" s="439"/>
      <c r="F89" s="439"/>
      <c r="G89" s="439"/>
      <c r="H89" s="439"/>
      <c r="I89" s="439"/>
      <c r="J89" s="439"/>
      <c r="K89" s="439"/>
      <c r="L89" s="439"/>
      <c r="M89" s="439"/>
      <c r="N89" s="439"/>
      <c r="O89" s="439"/>
      <c r="P89" s="439"/>
      <c r="Q89" s="439"/>
    </row>
    <row r="90" spans="1:20" x14ac:dyDescent="0.25">
      <c r="A90" s="825"/>
      <c r="B90" s="825"/>
      <c r="C90" s="825"/>
      <c r="D90" s="825"/>
      <c r="E90" s="825"/>
      <c r="F90" s="825"/>
      <c r="G90" s="825"/>
      <c r="H90" s="825"/>
      <c r="I90" s="825"/>
      <c r="J90" s="825"/>
      <c r="K90" s="825"/>
      <c r="L90" s="825"/>
      <c r="M90" s="825"/>
      <c r="N90" s="439"/>
      <c r="O90" s="439"/>
      <c r="P90" s="439"/>
      <c r="Q90" s="439"/>
    </row>
    <row r="91" spans="1:20" x14ac:dyDescent="0.25">
      <c r="A91" s="825"/>
      <c r="B91" s="825"/>
      <c r="C91" s="825"/>
      <c r="D91" s="825"/>
      <c r="E91" s="825"/>
      <c r="F91" s="825"/>
      <c r="G91" s="825"/>
      <c r="H91" s="825"/>
      <c r="I91" s="825"/>
      <c r="J91" s="825"/>
      <c r="K91" s="825"/>
      <c r="L91" s="825"/>
      <c r="M91" s="825"/>
      <c r="N91" s="439"/>
      <c r="O91" s="439"/>
      <c r="P91" s="439"/>
      <c r="Q91" s="439"/>
    </row>
    <row r="92" spans="1:20" x14ac:dyDescent="0.25">
      <c r="A92" s="825"/>
      <c r="B92" s="825"/>
      <c r="C92" s="825"/>
      <c r="D92" s="825"/>
      <c r="E92" s="825"/>
      <c r="F92" s="825"/>
      <c r="G92" s="825"/>
      <c r="H92" s="825"/>
      <c r="I92" s="825"/>
      <c r="J92" s="825"/>
      <c r="K92" s="825"/>
      <c r="L92" s="825"/>
      <c r="M92" s="825"/>
      <c r="N92" s="439"/>
      <c r="O92" s="439"/>
      <c r="P92" s="439"/>
      <c r="Q92" s="439"/>
    </row>
    <row r="93" spans="1:20" hidden="1" x14ac:dyDescent="0.25">
      <c r="A93" s="825" t="s">
        <v>789</v>
      </c>
      <c r="B93" s="825"/>
      <c r="C93" s="825"/>
      <c r="D93" s="825"/>
      <c r="E93" s="825"/>
      <c r="F93" s="825"/>
      <c r="G93" s="825"/>
      <c r="H93" s="825"/>
      <c r="I93" s="825"/>
      <c r="J93" s="825"/>
      <c r="K93" s="825"/>
      <c r="L93" s="825"/>
      <c r="M93" s="825"/>
      <c r="N93" s="439"/>
      <c r="O93" s="439"/>
      <c r="P93" s="439"/>
      <c r="Q93" s="439"/>
    </row>
    <row r="94" spans="1:20" hidden="1" x14ac:dyDescent="0.25">
      <c r="A94" s="825" t="s">
        <v>791</v>
      </c>
      <c r="B94" s="825"/>
      <c r="C94" s="825"/>
      <c r="D94" s="825"/>
      <c r="E94" s="825"/>
      <c r="F94" s="825"/>
      <c r="G94" s="825"/>
      <c r="H94" s="825"/>
      <c r="I94" s="825"/>
      <c r="J94" s="825"/>
      <c r="K94" s="825"/>
      <c r="L94" s="825"/>
      <c r="M94" s="825"/>
      <c r="N94" s="439"/>
      <c r="O94" s="439"/>
      <c r="P94" s="439"/>
      <c r="Q94" s="439"/>
    </row>
    <row r="95" spans="1:20" hidden="1" x14ac:dyDescent="0.25">
      <c r="A95" s="825"/>
      <c r="B95" s="825"/>
      <c r="C95" s="825"/>
      <c r="D95" s="825"/>
      <c r="E95" s="825"/>
      <c r="F95" s="825"/>
      <c r="G95" s="825"/>
      <c r="H95" s="825"/>
      <c r="I95" s="825"/>
      <c r="J95" s="825"/>
      <c r="K95" s="825"/>
      <c r="L95" s="825"/>
      <c r="M95" s="825"/>
      <c r="N95" s="439"/>
      <c r="O95" s="439"/>
      <c r="P95" s="439"/>
      <c r="Q95" s="439"/>
    </row>
    <row r="96" spans="1:20" hidden="1" x14ac:dyDescent="0.25">
      <c r="A96" s="825" t="s">
        <v>784</v>
      </c>
      <c r="B96" s="825"/>
      <c r="C96" s="825"/>
      <c r="D96" s="825"/>
      <c r="E96" s="825"/>
      <c r="F96" s="825"/>
      <c r="G96" s="825"/>
      <c r="H96" s="825"/>
      <c r="I96" s="825"/>
      <c r="J96" s="825"/>
      <c r="K96" s="825"/>
      <c r="L96" s="825"/>
      <c r="M96" s="825"/>
      <c r="N96" s="439"/>
      <c r="O96" s="439"/>
      <c r="P96" s="439"/>
      <c r="Q96" s="439"/>
    </row>
    <row r="97" spans="1:17" hidden="1" x14ac:dyDescent="0.25">
      <c r="A97" s="825" t="s">
        <v>785</v>
      </c>
      <c r="B97" s="825"/>
      <c r="C97" s="825"/>
      <c r="D97" s="825"/>
      <c r="E97" s="825"/>
      <c r="F97" s="825"/>
      <c r="G97" s="825"/>
      <c r="H97" s="825"/>
      <c r="I97" s="825"/>
      <c r="J97" s="825"/>
      <c r="K97" s="825"/>
      <c r="L97" s="825"/>
      <c r="M97" s="825"/>
      <c r="N97" s="439"/>
      <c r="O97" s="439"/>
      <c r="P97" s="439"/>
      <c r="Q97" s="439"/>
    </row>
    <row r="98" spans="1:17" hidden="1" x14ac:dyDescent="0.25">
      <c r="A98" s="825" t="s">
        <v>254</v>
      </c>
      <c r="B98" s="825"/>
      <c r="C98" s="825"/>
      <c r="D98" s="825"/>
      <c r="E98" s="825"/>
      <c r="F98" s="825"/>
      <c r="G98" s="825"/>
      <c r="H98" s="825"/>
      <c r="I98" s="825"/>
      <c r="J98" s="825"/>
      <c r="K98" s="825"/>
      <c r="L98" s="825"/>
      <c r="M98" s="825"/>
      <c r="N98" s="439"/>
      <c r="O98" s="439"/>
      <c r="P98" s="439"/>
      <c r="Q98" s="439"/>
    </row>
    <row r="99" spans="1:17" hidden="1" x14ac:dyDescent="0.25">
      <c r="A99" s="825"/>
      <c r="B99" s="825"/>
      <c r="C99" s="825"/>
      <c r="D99" s="825"/>
      <c r="E99" s="825"/>
      <c r="F99" s="825"/>
      <c r="G99" s="825"/>
      <c r="H99" s="825"/>
      <c r="I99" s="825"/>
      <c r="J99" s="825"/>
      <c r="K99" s="825"/>
      <c r="L99" s="825"/>
      <c r="M99" s="825"/>
      <c r="N99" s="439"/>
      <c r="O99" s="439"/>
      <c r="P99" s="439"/>
      <c r="Q99" s="439"/>
    </row>
    <row r="100" spans="1:17" x14ac:dyDescent="0.25">
      <c r="A100" s="825"/>
      <c r="B100" s="825"/>
      <c r="C100" s="825"/>
      <c r="D100" s="825"/>
      <c r="E100" s="825"/>
      <c r="F100" s="825"/>
      <c r="G100" s="825"/>
      <c r="H100" s="825"/>
      <c r="I100" s="825"/>
      <c r="J100" s="825"/>
      <c r="K100" s="825"/>
      <c r="L100" s="825"/>
      <c r="M100" s="825"/>
      <c r="N100" s="439"/>
      <c r="O100" s="439"/>
      <c r="P100" s="439"/>
      <c r="Q100" s="439"/>
    </row>
    <row r="101" spans="1:17" x14ac:dyDescent="0.25">
      <c r="A101" s="825"/>
      <c r="B101" s="825"/>
      <c r="C101" s="825"/>
      <c r="D101" s="825"/>
      <c r="E101" s="825"/>
      <c r="F101" s="825"/>
      <c r="G101" s="825"/>
      <c r="H101" s="825"/>
      <c r="I101" s="825"/>
      <c r="J101" s="825"/>
      <c r="K101" s="825"/>
      <c r="L101" s="825"/>
      <c r="M101" s="825"/>
      <c r="N101" s="439"/>
      <c r="O101" s="439"/>
      <c r="P101" s="439"/>
      <c r="Q101" s="439"/>
    </row>
    <row r="102" spans="1:17" x14ac:dyDescent="0.25">
      <c r="A102" s="825"/>
      <c r="B102" s="825"/>
      <c r="C102" s="825"/>
      <c r="D102" s="825"/>
      <c r="E102" s="825"/>
      <c r="F102" s="825"/>
      <c r="G102" s="825"/>
      <c r="H102" s="825"/>
      <c r="I102" s="825"/>
      <c r="J102" s="825"/>
      <c r="K102" s="825"/>
      <c r="L102" s="825"/>
      <c r="M102" s="825"/>
      <c r="N102" s="439"/>
      <c r="O102" s="439"/>
      <c r="P102" s="439"/>
      <c r="Q102" s="439"/>
    </row>
    <row r="103" spans="1:17" x14ac:dyDescent="0.25">
      <c r="A103" s="825"/>
      <c r="B103" s="825"/>
      <c r="C103" s="825"/>
      <c r="D103" s="825"/>
      <c r="E103" s="825"/>
      <c r="F103" s="825"/>
      <c r="G103" s="825"/>
      <c r="H103" s="825"/>
      <c r="I103" s="825"/>
      <c r="J103" s="825"/>
      <c r="K103" s="825"/>
      <c r="L103" s="825"/>
      <c r="M103" s="825"/>
      <c r="N103" s="439"/>
      <c r="O103" s="439"/>
      <c r="P103" s="439"/>
      <c r="Q103" s="439"/>
    </row>
    <row r="104" spans="1:17" x14ac:dyDescent="0.25">
      <c r="A104" s="825"/>
      <c r="B104" s="825"/>
      <c r="C104" s="825"/>
      <c r="D104" s="825"/>
      <c r="E104" s="825"/>
      <c r="F104" s="825"/>
      <c r="G104" s="825"/>
      <c r="H104" s="825"/>
      <c r="I104" s="825"/>
      <c r="J104" s="825"/>
      <c r="K104" s="825"/>
      <c r="L104" s="825"/>
      <c r="M104" s="825"/>
      <c r="N104" s="439"/>
      <c r="O104" s="439"/>
      <c r="P104" s="439"/>
      <c r="Q104" s="439"/>
    </row>
    <row r="105" spans="1:17" x14ac:dyDescent="0.25">
      <c r="A105" s="825"/>
      <c r="B105" s="825"/>
      <c r="C105" s="825"/>
      <c r="D105" s="825"/>
      <c r="E105" s="825"/>
      <c r="F105" s="825"/>
      <c r="G105" s="825"/>
      <c r="H105" s="825"/>
      <c r="I105" s="825"/>
      <c r="J105" s="825"/>
      <c r="K105" s="825"/>
      <c r="L105" s="825"/>
      <c r="M105" s="825"/>
      <c r="N105" s="439"/>
      <c r="O105" s="439"/>
      <c r="P105" s="439"/>
      <c r="Q105" s="439"/>
    </row>
    <row r="106" spans="1:17" x14ac:dyDescent="0.25">
      <c r="A106" s="825"/>
      <c r="B106" s="825"/>
      <c r="C106" s="825"/>
      <c r="D106" s="825"/>
      <c r="E106" s="825"/>
      <c r="F106" s="825"/>
      <c r="G106" s="825"/>
      <c r="H106" s="825"/>
      <c r="I106" s="825"/>
      <c r="J106" s="825"/>
      <c r="K106" s="825"/>
      <c r="L106" s="825"/>
      <c r="M106" s="825"/>
      <c r="N106" s="439"/>
      <c r="O106" s="439"/>
      <c r="P106" s="439"/>
      <c r="Q106" s="439"/>
    </row>
    <row r="107" spans="1:17" x14ac:dyDescent="0.25">
      <c r="A107" s="825"/>
      <c r="B107" s="825"/>
      <c r="C107" s="825"/>
      <c r="D107" s="825"/>
      <c r="E107" s="825"/>
      <c r="F107" s="825"/>
      <c r="G107" s="825"/>
      <c r="H107" s="825"/>
      <c r="I107" s="825"/>
      <c r="J107" s="825"/>
      <c r="K107" s="825"/>
      <c r="L107" s="825"/>
      <c r="M107" s="825"/>
      <c r="N107" s="439"/>
      <c r="O107" s="439"/>
      <c r="P107" s="439"/>
      <c r="Q107" s="439"/>
    </row>
    <row r="108" spans="1:17" x14ac:dyDescent="0.25">
      <c r="A108" s="825"/>
      <c r="B108" s="825"/>
      <c r="C108" s="825"/>
      <c r="D108" s="825"/>
      <c r="E108" s="825"/>
      <c r="F108" s="825"/>
      <c r="G108" s="825"/>
      <c r="H108" s="825"/>
      <c r="I108" s="825"/>
      <c r="J108" s="825"/>
      <c r="K108" s="825"/>
      <c r="L108" s="825"/>
      <c r="M108" s="825"/>
      <c r="N108" s="439"/>
      <c r="O108" s="439"/>
      <c r="P108" s="439"/>
      <c r="Q108" s="439"/>
    </row>
    <row r="109" spans="1:17" x14ac:dyDescent="0.25">
      <c r="A109" s="825"/>
      <c r="B109" s="825"/>
      <c r="C109" s="825"/>
      <c r="D109" s="825"/>
      <c r="E109" s="825"/>
      <c r="F109" s="825"/>
      <c r="G109" s="825"/>
      <c r="H109" s="825"/>
      <c r="I109" s="825"/>
      <c r="J109" s="825"/>
      <c r="K109" s="825"/>
      <c r="L109" s="825"/>
      <c r="M109" s="825"/>
      <c r="N109" s="439"/>
      <c r="O109" s="439"/>
      <c r="P109" s="439"/>
      <c r="Q109" s="439"/>
    </row>
    <row r="110" spans="1:17" x14ac:dyDescent="0.25">
      <c r="A110" s="825"/>
      <c r="B110" s="825"/>
      <c r="C110" s="825"/>
      <c r="D110" s="825"/>
      <c r="E110" s="825"/>
      <c r="F110" s="825"/>
      <c r="G110" s="825"/>
      <c r="H110" s="825"/>
      <c r="I110" s="825"/>
      <c r="J110" s="825"/>
      <c r="K110" s="825"/>
      <c r="L110" s="825"/>
      <c r="M110" s="825"/>
      <c r="N110" s="439"/>
      <c r="O110" s="439"/>
      <c r="P110" s="439"/>
      <c r="Q110" s="439"/>
    </row>
    <row r="111" spans="1:17" x14ac:dyDescent="0.25">
      <c r="A111" s="825"/>
      <c r="B111" s="825"/>
      <c r="C111" s="825"/>
      <c r="D111" s="825"/>
      <c r="E111" s="825"/>
      <c r="F111" s="825"/>
      <c r="G111" s="825"/>
      <c r="H111" s="825"/>
      <c r="I111" s="825"/>
      <c r="J111" s="825"/>
      <c r="K111" s="825"/>
      <c r="L111" s="825"/>
      <c r="M111" s="825"/>
      <c r="N111" s="439"/>
      <c r="O111" s="439"/>
      <c r="P111" s="439"/>
      <c r="Q111" s="439"/>
    </row>
    <row r="112" spans="1:17" x14ac:dyDescent="0.25">
      <c r="A112" s="825"/>
      <c r="B112" s="825"/>
      <c r="C112" s="825"/>
      <c r="D112" s="825"/>
      <c r="E112" s="825"/>
      <c r="F112" s="825"/>
      <c r="G112" s="825"/>
      <c r="H112" s="825"/>
      <c r="I112" s="825"/>
      <c r="J112" s="825"/>
      <c r="K112" s="825"/>
      <c r="L112" s="825"/>
      <c r="M112" s="825"/>
      <c r="N112" s="439"/>
      <c r="O112" s="439"/>
      <c r="P112" s="439"/>
      <c r="Q112" s="439"/>
    </row>
    <row r="113" spans="1:17" x14ac:dyDescent="0.25">
      <c r="A113" s="825"/>
      <c r="B113" s="825"/>
      <c r="C113" s="825"/>
      <c r="D113" s="825"/>
      <c r="E113" s="825"/>
      <c r="F113" s="825"/>
      <c r="G113" s="825"/>
      <c r="H113" s="825"/>
      <c r="I113" s="825"/>
      <c r="J113" s="825"/>
      <c r="K113" s="825"/>
      <c r="L113" s="825"/>
      <c r="M113" s="825"/>
      <c r="N113" s="439"/>
      <c r="O113" s="439"/>
      <c r="P113" s="439"/>
      <c r="Q113" s="439"/>
    </row>
    <row r="114" spans="1:17" x14ac:dyDescent="0.25">
      <c r="A114" s="1273"/>
      <c r="B114" s="439"/>
      <c r="C114" s="439"/>
      <c r="D114" s="439"/>
      <c r="E114" s="439"/>
      <c r="F114" s="439"/>
      <c r="G114" s="439"/>
      <c r="H114" s="439"/>
      <c r="I114" s="439"/>
      <c r="J114" s="439"/>
      <c r="K114" s="439"/>
      <c r="L114" s="439"/>
      <c r="M114" s="439"/>
      <c r="N114" s="439"/>
      <c r="O114" s="439"/>
      <c r="P114" s="439"/>
      <c r="Q114" s="439"/>
    </row>
    <row r="115" spans="1:17" x14ac:dyDescent="0.25">
      <c r="A115" s="1273"/>
      <c r="B115" s="439"/>
      <c r="C115" s="439"/>
      <c r="D115" s="439"/>
      <c r="E115" s="439"/>
      <c r="F115" s="439"/>
      <c r="G115" s="439"/>
      <c r="H115" s="439"/>
      <c r="I115" s="439"/>
      <c r="J115" s="439"/>
      <c r="K115" s="439"/>
      <c r="L115" s="439"/>
      <c r="M115" s="439"/>
      <c r="N115" s="439"/>
      <c r="O115" s="439"/>
      <c r="P115" s="439"/>
      <c r="Q115" s="439"/>
    </row>
    <row r="116" spans="1:17" x14ac:dyDescent="0.25">
      <c r="A116" s="1273"/>
      <c r="B116" s="439"/>
      <c r="C116" s="439"/>
      <c r="D116" s="439"/>
      <c r="E116" s="439"/>
      <c r="F116" s="439"/>
      <c r="G116" s="439"/>
      <c r="H116" s="439"/>
      <c r="I116" s="439"/>
      <c r="J116" s="439"/>
      <c r="K116" s="439"/>
      <c r="L116" s="439"/>
      <c r="M116" s="439"/>
      <c r="N116" s="439"/>
      <c r="O116" s="439"/>
      <c r="P116" s="439"/>
      <c r="Q116" s="439"/>
    </row>
    <row r="117" spans="1:17" x14ac:dyDescent="0.25">
      <c r="A117" s="1273"/>
      <c r="B117" s="439"/>
      <c r="C117" s="439"/>
      <c r="D117" s="439"/>
      <c r="E117" s="439"/>
      <c r="F117" s="439"/>
      <c r="G117" s="439"/>
      <c r="H117" s="439"/>
      <c r="I117" s="439"/>
      <c r="J117" s="439"/>
      <c r="K117" s="439"/>
      <c r="L117" s="439"/>
      <c r="M117" s="439"/>
      <c r="N117" s="439"/>
      <c r="O117" s="439"/>
      <c r="P117" s="439"/>
      <c r="Q117" s="439"/>
    </row>
    <row r="118" spans="1:17" x14ac:dyDescent="0.25">
      <c r="A118" s="1273"/>
      <c r="B118" s="439"/>
      <c r="C118" s="439"/>
      <c r="D118" s="439"/>
      <c r="E118" s="439"/>
      <c r="F118" s="439"/>
      <c r="G118" s="439"/>
      <c r="H118" s="439"/>
      <c r="I118" s="439"/>
      <c r="J118" s="439"/>
      <c r="K118" s="439"/>
      <c r="L118" s="439"/>
      <c r="M118" s="439"/>
      <c r="N118" s="439"/>
      <c r="O118" s="439"/>
      <c r="P118" s="439"/>
      <c r="Q118" s="439"/>
    </row>
    <row r="119" spans="1:17" x14ac:dyDescent="0.25">
      <c r="A119" s="1273"/>
      <c r="B119" s="439"/>
      <c r="C119" s="439"/>
      <c r="D119" s="439"/>
      <c r="E119" s="439"/>
      <c r="F119" s="439"/>
      <c r="G119" s="439"/>
      <c r="H119" s="439"/>
      <c r="I119" s="439"/>
      <c r="J119" s="439"/>
      <c r="K119" s="439"/>
      <c r="L119" s="439"/>
      <c r="M119" s="439"/>
      <c r="N119" s="439"/>
      <c r="O119" s="439"/>
      <c r="P119" s="439"/>
      <c r="Q119" s="439"/>
    </row>
    <row r="120" spans="1:17" x14ac:dyDescent="0.25">
      <c r="A120" s="1273"/>
      <c r="B120" s="439"/>
      <c r="C120" s="439"/>
      <c r="D120" s="439"/>
      <c r="E120" s="439"/>
      <c r="F120" s="439"/>
      <c r="G120" s="439"/>
      <c r="H120" s="439"/>
      <c r="I120" s="439"/>
      <c r="J120" s="439"/>
      <c r="K120" s="439"/>
      <c r="L120" s="439"/>
      <c r="M120" s="439"/>
      <c r="N120" s="439"/>
      <c r="O120" s="439"/>
      <c r="P120" s="439"/>
      <c r="Q120" s="439"/>
    </row>
    <row r="121" spans="1:17" x14ac:dyDescent="0.25">
      <c r="A121" s="1273"/>
      <c r="B121" s="439"/>
      <c r="C121" s="439"/>
      <c r="D121" s="439"/>
      <c r="E121" s="439"/>
      <c r="F121" s="439"/>
      <c r="G121" s="439"/>
      <c r="H121" s="439"/>
      <c r="I121" s="439"/>
      <c r="J121" s="439"/>
      <c r="K121" s="439"/>
      <c r="L121" s="439"/>
      <c r="M121" s="439"/>
      <c r="N121" s="439"/>
      <c r="O121" s="439"/>
      <c r="P121" s="439"/>
      <c r="Q121" s="439"/>
    </row>
    <row r="122" spans="1:17" x14ac:dyDescent="0.25">
      <c r="A122" s="1273"/>
      <c r="B122" s="439"/>
      <c r="C122" s="439"/>
      <c r="D122" s="439"/>
      <c r="E122" s="439"/>
      <c r="F122" s="439"/>
      <c r="G122" s="439"/>
      <c r="H122" s="439"/>
      <c r="I122" s="439"/>
      <c r="J122" s="439"/>
      <c r="K122" s="439"/>
      <c r="L122" s="439"/>
      <c r="M122" s="439"/>
      <c r="N122" s="439"/>
      <c r="O122" s="439"/>
      <c r="P122" s="439"/>
      <c r="Q122" s="439"/>
    </row>
    <row r="123" spans="1:17" x14ac:dyDescent="0.25">
      <c r="A123" s="1273"/>
      <c r="B123" s="439"/>
      <c r="C123" s="439"/>
      <c r="D123" s="439"/>
      <c r="E123" s="439"/>
      <c r="F123" s="439"/>
      <c r="G123" s="439"/>
      <c r="H123" s="439"/>
      <c r="I123" s="439"/>
      <c r="J123" s="439"/>
      <c r="K123" s="439"/>
      <c r="L123" s="439"/>
      <c r="M123" s="439"/>
      <c r="N123" s="439"/>
      <c r="O123" s="439"/>
      <c r="P123" s="439"/>
      <c r="Q123" s="439"/>
    </row>
    <row r="124" spans="1:17" x14ac:dyDescent="0.25">
      <c r="A124" s="1273"/>
      <c r="B124" s="439"/>
      <c r="C124" s="439"/>
      <c r="D124" s="439"/>
      <c r="E124" s="439"/>
      <c r="F124" s="439"/>
      <c r="G124" s="439"/>
      <c r="H124" s="439"/>
      <c r="I124" s="439"/>
      <c r="J124" s="439"/>
      <c r="K124" s="439"/>
      <c r="L124" s="439"/>
      <c r="M124" s="439"/>
      <c r="N124" s="439"/>
      <c r="O124" s="439"/>
      <c r="P124" s="439"/>
      <c r="Q124" s="439"/>
    </row>
    <row r="125" spans="1:17" x14ac:dyDescent="0.25">
      <c r="A125" s="1273"/>
      <c r="B125" s="439"/>
      <c r="C125" s="439"/>
      <c r="D125" s="439"/>
      <c r="E125" s="439"/>
      <c r="F125" s="439"/>
      <c r="G125" s="439"/>
      <c r="H125" s="439"/>
      <c r="I125" s="439"/>
      <c r="J125" s="439"/>
      <c r="K125" s="439"/>
      <c r="L125" s="439"/>
      <c r="M125" s="439"/>
      <c r="N125" s="439"/>
      <c r="O125" s="439"/>
      <c r="P125" s="439"/>
      <c r="Q125" s="439"/>
    </row>
    <row r="126" spans="1:17" x14ac:dyDescent="0.25">
      <c r="A126" s="1273"/>
      <c r="B126" s="439"/>
      <c r="C126" s="439"/>
      <c r="D126" s="439"/>
      <c r="E126" s="439"/>
      <c r="F126" s="439"/>
      <c r="G126" s="439"/>
      <c r="H126" s="439"/>
      <c r="I126" s="439"/>
      <c r="J126" s="439"/>
      <c r="K126" s="439"/>
      <c r="L126" s="439"/>
      <c r="M126" s="439"/>
      <c r="N126" s="439"/>
      <c r="O126" s="439"/>
      <c r="P126" s="439"/>
      <c r="Q126" s="439"/>
    </row>
    <row r="127" spans="1:17" x14ac:dyDescent="0.25">
      <c r="A127" s="1273"/>
      <c r="B127" s="439"/>
      <c r="C127" s="439"/>
      <c r="D127" s="439"/>
      <c r="E127" s="439"/>
      <c r="F127" s="439"/>
      <c r="G127" s="439"/>
      <c r="H127" s="439"/>
      <c r="I127" s="439"/>
      <c r="J127" s="439"/>
      <c r="K127" s="439"/>
      <c r="L127" s="439"/>
      <c r="M127" s="439"/>
      <c r="N127" s="439"/>
      <c r="O127" s="439"/>
      <c r="P127" s="439"/>
      <c r="Q127" s="439"/>
    </row>
    <row r="128" spans="1:17" x14ac:dyDescent="0.25">
      <c r="A128" s="1273"/>
      <c r="B128" s="439"/>
      <c r="C128" s="439"/>
      <c r="D128" s="439"/>
      <c r="E128" s="439"/>
      <c r="F128" s="439"/>
      <c r="G128" s="439"/>
      <c r="H128" s="439"/>
      <c r="I128" s="439"/>
      <c r="J128" s="439"/>
      <c r="K128" s="439"/>
      <c r="L128" s="439"/>
      <c r="M128" s="439"/>
      <c r="N128" s="439"/>
      <c r="O128" s="439"/>
      <c r="P128" s="439"/>
      <c r="Q128" s="439"/>
    </row>
    <row r="129" spans="1:17" x14ac:dyDescent="0.25">
      <c r="A129" s="1273"/>
      <c r="B129" s="439"/>
      <c r="C129" s="439"/>
      <c r="D129" s="439"/>
      <c r="E129" s="439"/>
      <c r="F129" s="439"/>
      <c r="G129" s="439"/>
      <c r="H129" s="439"/>
      <c r="I129" s="439"/>
      <c r="J129" s="439"/>
      <c r="K129" s="439"/>
      <c r="L129" s="439"/>
      <c r="M129" s="439"/>
      <c r="N129" s="439"/>
      <c r="O129" s="439"/>
      <c r="P129" s="439"/>
      <c r="Q129" s="439"/>
    </row>
    <row r="130" spans="1:17" x14ac:dyDescent="0.25">
      <c r="A130" s="1273"/>
      <c r="B130" s="439"/>
      <c r="C130" s="439"/>
      <c r="D130" s="439"/>
      <c r="E130" s="439"/>
      <c r="F130" s="439"/>
      <c r="G130" s="439"/>
      <c r="H130" s="439"/>
      <c r="I130" s="439"/>
      <c r="J130" s="439"/>
      <c r="K130" s="439"/>
      <c r="L130" s="439"/>
      <c r="M130" s="439"/>
      <c r="N130" s="439"/>
      <c r="O130" s="439"/>
      <c r="P130" s="439"/>
      <c r="Q130" s="439"/>
    </row>
    <row r="131" spans="1:17" x14ac:dyDescent="0.25">
      <c r="A131" s="1273"/>
      <c r="B131" s="439"/>
      <c r="C131" s="439"/>
      <c r="D131" s="439"/>
      <c r="E131" s="439"/>
      <c r="F131" s="439"/>
      <c r="G131" s="439"/>
      <c r="H131" s="439"/>
      <c r="I131" s="439"/>
      <c r="J131" s="439"/>
      <c r="K131" s="439"/>
      <c r="L131" s="439"/>
      <c r="M131" s="439"/>
      <c r="N131" s="439"/>
      <c r="O131" s="439"/>
      <c r="P131" s="439"/>
      <c r="Q131" s="439"/>
    </row>
    <row r="132" spans="1:17" x14ac:dyDescent="0.25">
      <c r="A132" s="1273"/>
      <c r="B132" s="439"/>
      <c r="C132" s="439"/>
      <c r="D132" s="439"/>
      <c r="E132" s="439"/>
      <c r="F132" s="439"/>
      <c r="G132" s="439"/>
      <c r="H132" s="439"/>
      <c r="I132" s="439"/>
      <c r="J132" s="439"/>
      <c r="K132" s="439"/>
      <c r="L132" s="439"/>
      <c r="M132" s="439"/>
      <c r="N132" s="439"/>
      <c r="O132" s="439"/>
      <c r="P132" s="439"/>
      <c r="Q132" s="439"/>
    </row>
    <row r="133" spans="1:17" x14ac:dyDescent="0.25">
      <c r="A133" s="1273"/>
      <c r="B133" s="439"/>
      <c r="C133" s="439"/>
      <c r="D133" s="439"/>
      <c r="E133" s="439"/>
      <c r="F133" s="439"/>
      <c r="G133" s="439"/>
      <c r="H133" s="439"/>
      <c r="I133" s="439"/>
      <c r="J133" s="439"/>
      <c r="K133" s="439"/>
      <c r="L133" s="439"/>
      <c r="M133" s="439"/>
      <c r="N133" s="439"/>
      <c r="O133" s="439"/>
      <c r="P133" s="439"/>
      <c r="Q133" s="439"/>
    </row>
    <row r="134" spans="1:17" x14ac:dyDescent="0.25">
      <c r="A134" s="1273"/>
      <c r="B134" s="439"/>
      <c r="C134" s="439"/>
      <c r="D134" s="439"/>
      <c r="E134" s="439"/>
      <c r="F134" s="439"/>
      <c r="G134" s="439"/>
      <c r="H134" s="439"/>
      <c r="I134" s="439"/>
      <c r="J134" s="439"/>
      <c r="K134" s="439"/>
      <c r="L134" s="439"/>
      <c r="M134" s="439"/>
      <c r="N134" s="439"/>
      <c r="O134" s="439"/>
      <c r="P134" s="439"/>
      <c r="Q134" s="439"/>
    </row>
    <row r="135" spans="1:17" x14ac:dyDescent="0.25">
      <c r="A135" s="1273"/>
      <c r="B135" s="439"/>
      <c r="C135" s="439"/>
      <c r="D135" s="439"/>
      <c r="E135" s="439"/>
      <c r="F135" s="439"/>
      <c r="G135" s="439"/>
      <c r="H135" s="439"/>
      <c r="I135" s="439"/>
      <c r="J135" s="439"/>
      <c r="K135" s="439"/>
      <c r="L135" s="439"/>
      <c r="M135" s="439"/>
      <c r="N135" s="439"/>
      <c r="O135" s="439"/>
      <c r="P135" s="439"/>
      <c r="Q135" s="439"/>
    </row>
    <row r="136" spans="1:17" x14ac:dyDescent="0.25">
      <c r="A136" s="1273"/>
      <c r="B136" s="439"/>
      <c r="C136" s="439"/>
      <c r="D136" s="439"/>
      <c r="E136" s="439"/>
      <c r="F136" s="439"/>
      <c r="G136" s="439"/>
      <c r="H136" s="439"/>
      <c r="I136" s="439"/>
      <c r="J136" s="439"/>
      <c r="K136" s="439"/>
      <c r="L136" s="439"/>
      <c r="M136" s="439"/>
      <c r="N136" s="439"/>
      <c r="O136" s="439"/>
      <c r="P136" s="439"/>
      <c r="Q136" s="439"/>
    </row>
    <row r="137" spans="1:17" x14ac:dyDescent="0.25">
      <c r="A137" s="1273"/>
      <c r="B137" s="439"/>
      <c r="C137" s="439"/>
      <c r="D137" s="439"/>
      <c r="E137" s="439"/>
      <c r="F137" s="439"/>
      <c r="G137" s="439"/>
      <c r="H137" s="439"/>
      <c r="I137" s="439"/>
      <c r="J137" s="439"/>
      <c r="K137" s="439"/>
      <c r="L137" s="439"/>
      <c r="M137" s="439"/>
      <c r="N137" s="439"/>
      <c r="O137" s="439"/>
      <c r="P137" s="439"/>
      <c r="Q137" s="439"/>
    </row>
    <row r="138" spans="1:17" x14ac:dyDescent="0.25">
      <c r="A138" s="1273"/>
      <c r="B138" s="439"/>
      <c r="C138" s="439"/>
      <c r="D138" s="439"/>
      <c r="E138" s="439"/>
      <c r="F138" s="439"/>
      <c r="G138" s="439"/>
      <c r="H138" s="439"/>
      <c r="I138" s="439"/>
      <c r="J138" s="439"/>
      <c r="K138" s="439"/>
      <c r="L138" s="439"/>
      <c r="M138" s="439"/>
      <c r="N138" s="439"/>
      <c r="O138" s="439"/>
      <c r="P138" s="439"/>
      <c r="Q138" s="439"/>
    </row>
    <row r="139" spans="1:17" x14ac:dyDescent="0.25">
      <c r="A139" s="1273"/>
      <c r="B139" s="439"/>
      <c r="C139" s="439"/>
      <c r="D139" s="439"/>
      <c r="E139" s="439"/>
      <c r="F139" s="439"/>
      <c r="G139" s="439"/>
      <c r="H139" s="439"/>
      <c r="I139" s="439"/>
      <c r="J139" s="439"/>
      <c r="K139" s="439"/>
      <c r="L139" s="439"/>
      <c r="M139" s="439"/>
      <c r="N139" s="439"/>
      <c r="O139" s="439"/>
      <c r="P139" s="439"/>
      <c r="Q139" s="439"/>
    </row>
    <row r="140" spans="1:17" x14ac:dyDescent="0.25">
      <c r="A140" s="1273"/>
      <c r="B140" s="439"/>
      <c r="C140" s="439"/>
      <c r="D140" s="439"/>
      <c r="E140" s="439"/>
      <c r="F140" s="439"/>
      <c r="G140" s="439"/>
      <c r="H140" s="439"/>
      <c r="I140" s="439"/>
      <c r="J140" s="439"/>
      <c r="K140" s="439"/>
      <c r="L140" s="439"/>
      <c r="M140" s="439"/>
      <c r="N140" s="439"/>
      <c r="O140" s="439"/>
      <c r="P140" s="439"/>
      <c r="Q140" s="439"/>
    </row>
    <row r="141" spans="1:17" x14ac:dyDescent="0.25">
      <c r="A141" s="1273"/>
      <c r="B141" s="439"/>
      <c r="C141" s="439"/>
      <c r="D141" s="439"/>
      <c r="E141" s="439"/>
      <c r="F141" s="439"/>
      <c r="G141" s="439"/>
      <c r="H141" s="439"/>
      <c r="I141" s="439"/>
      <c r="J141" s="439"/>
      <c r="K141" s="439"/>
      <c r="L141" s="439"/>
      <c r="M141" s="439"/>
      <c r="N141" s="439"/>
      <c r="O141" s="439"/>
      <c r="P141" s="439"/>
      <c r="Q141" s="439"/>
    </row>
    <row r="142" spans="1:17" x14ac:dyDescent="0.25">
      <c r="A142" s="1273"/>
      <c r="B142" s="439"/>
      <c r="C142" s="439"/>
      <c r="D142" s="439"/>
      <c r="E142" s="439"/>
      <c r="F142" s="439"/>
      <c r="G142" s="439"/>
      <c r="H142" s="439"/>
      <c r="I142" s="439"/>
      <c r="J142" s="439"/>
      <c r="K142" s="439"/>
      <c r="L142" s="439"/>
      <c r="M142" s="439"/>
      <c r="N142" s="439"/>
      <c r="O142" s="439"/>
      <c r="P142" s="439"/>
      <c r="Q142" s="439"/>
    </row>
    <row r="143" spans="1:17" x14ac:dyDescent="0.25">
      <c r="A143" s="1273"/>
      <c r="B143" s="439"/>
      <c r="C143" s="439"/>
      <c r="D143" s="439"/>
      <c r="E143" s="439"/>
      <c r="F143" s="439"/>
      <c r="G143" s="439"/>
      <c r="H143" s="439"/>
      <c r="I143" s="439"/>
      <c r="J143" s="439"/>
      <c r="K143" s="439"/>
      <c r="L143" s="439"/>
      <c r="M143" s="439"/>
      <c r="N143" s="439"/>
      <c r="O143" s="439"/>
      <c r="P143" s="439"/>
      <c r="Q143" s="439"/>
    </row>
    <row r="144" spans="1:17" x14ac:dyDescent="0.25">
      <c r="A144" s="1273"/>
      <c r="B144" s="439"/>
      <c r="C144" s="439"/>
      <c r="D144" s="439"/>
      <c r="E144" s="439"/>
      <c r="F144" s="439"/>
      <c r="G144" s="439"/>
      <c r="H144" s="439"/>
      <c r="I144" s="439"/>
      <c r="J144" s="439"/>
      <c r="K144" s="439"/>
      <c r="L144" s="439"/>
      <c r="M144" s="439"/>
      <c r="N144" s="439"/>
      <c r="O144" s="439"/>
      <c r="P144" s="439"/>
      <c r="Q144" s="439"/>
    </row>
    <row r="145" spans="1:17" x14ac:dyDescent="0.25">
      <c r="A145" s="1273"/>
      <c r="B145" s="439"/>
      <c r="C145" s="439"/>
      <c r="D145" s="439"/>
      <c r="E145" s="439"/>
      <c r="F145" s="439"/>
      <c r="G145" s="439"/>
      <c r="H145" s="439"/>
      <c r="I145" s="439"/>
      <c r="J145" s="439"/>
      <c r="K145" s="439"/>
      <c r="L145" s="439"/>
      <c r="M145" s="439"/>
      <c r="N145" s="439"/>
      <c r="O145" s="439"/>
      <c r="P145" s="439"/>
      <c r="Q145" s="439"/>
    </row>
    <row r="146" spans="1:17" x14ac:dyDescent="0.25">
      <c r="A146" s="1273"/>
      <c r="B146" s="439"/>
      <c r="C146" s="439"/>
      <c r="D146" s="439"/>
      <c r="E146" s="439"/>
      <c r="F146" s="439"/>
      <c r="G146" s="439"/>
      <c r="H146" s="439"/>
      <c r="I146" s="439"/>
      <c r="J146" s="439"/>
      <c r="K146" s="439"/>
      <c r="L146" s="439"/>
      <c r="M146" s="439"/>
      <c r="N146" s="439"/>
      <c r="O146" s="439"/>
      <c r="P146" s="439"/>
      <c r="Q146" s="439"/>
    </row>
    <row r="147" spans="1:17" x14ac:dyDescent="0.25">
      <c r="A147" s="1273"/>
      <c r="B147" s="439"/>
      <c r="C147" s="439"/>
      <c r="D147" s="439"/>
      <c r="E147" s="439"/>
      <c r="F147" s="439"/>
      <c r="G147" s="439"/>
      <c r="H147" s="439"/>
      <c r="I147" s="439"/>
      <c r="J147" s="439"/>
      <c r="K147" s="439"/>
      <c r="L147" s="439"/>
      <c r="M147" s="439"/>
      <c r="N147" s="439"/>
      <c r="O147" s="439"/>
      <c r="P147" s="439"/>
      <c r="Q147" s="439"/>
    </row>
    <row r="148" spans="1:17" x14ac:dyDescent="0.25">
      <c r="A148" s="1273"/>
      <c r="B148" s="439"/>
      <c r="C148" s="439"/>
      <c r="D148" s="439"/>
      <c r="E148" s="439"/>
      <c r="F148" s="439"/>
      <c r="G148" s="439"/>
      <c r="H148" s="439"/>
      <c r="I148" s="439"/>
      <c r="J148" s="439"/>
      <c r="K148" s="439"/>
      <c r="L148" s="439"/>
      <c r="M148" s="439"/>
      <c r="N148" s="439"/>
      <c r="O148" s="439"/>
      <c r="P148" s="439"/>
      <c r="Q148" s="439"/>
    </row>
    <row r="149" spans="1:17" x14ac:dyDescent="0.25">
      <c r="A149" s="1273"/>
      <c r="B149" s="439"/>
      <c r="C149" s="439"/>
      <c r="D149" s="439"/>
      <c r="E149" s="439"/>
      <c r="F149" s="439"/>
      <c r="G149" s="439"/>
      <c r="H149" s="439"/>
      <c r="I149" s="439"/>
      <c r="J149" s="439"/>
      <c r="K149" s="439"/>
      <c r="L149" s="439"/>
      <c r="M149" s="439"/>
      <c r="N149" s="439"/>
      <c r="O149" s="439"/>
      <c r="P149" s="439"/>
      <c r="Q149" s="439"/>
    </row>
    <row r="150" spans="1:17" x14ac:dyDescent="0.25">
      <c r="A150" s="1273"/>
      <c r="B150" s="439"/>
      <c r="C150" s="439"/>
      <c r="D150" s="439"/>
      <c r="E150" s="439"/>
      <c r="F150" s="439"/>
      <c r="G150" s="439"/>
      <c r="H150" s="439"/>
      <c r="I150" s="439"/>
      <c r="J150" s="439"/>
      <c r="K150" s="439"/>
      <c r="L150" s="439"/>
      <c r="M150" s="439"/>
      <c r="N150" s="439"/>
      <c r="O150" s="439"/>
      <c r="P150" s="439"/>
      <c r="Q150" s="439"/>
    </row>
    <row r="151" spans="1:17" x14ac:dyDescent="0.25">
      <c r="A151" s="1273"/>
      <c r="B151" s="439"/>
      <c r="C151" s="439"/>
      <c r="D151" s="439"/>
      <c r="E151" s="439"/>
      <c r="F151" s="439"/>
      <c r="G151" s="439"/>
      <c r="H151" s="439"/>
      <c r="I151" s="439"/>
      <c r="J151" s="439"/>
      <c r="K151" s="439"/>
      <c r="L151" s="439"/>
      <c r="M151" s="439"/>
      <c r="N151" s="439"/>
      <c r="O151" s="439"/>
      <c r="P151" s="439"/>
      <c r="Q151" s="439"/>
    </row>
    <row r="152" spans="1:17" x14ac:dyDescent="0.25">
      <c r="A152" s="1273"/>
      <c r="B152" s="439"/>
      <c r="C152" s="439"/>
      <c r="D152" s="439"/>
      <c r="E152" s="439"/>
      <c r="F152" s="439"/>
      <c r="G152" s="439"/>
      <c r="H152" s="439"/>
      <c r="I152" s="439"/>
      <c r="J152" s="439"/>
      <c r="K152" s="439"/>
      <c r="L152" s="439"/>
      <c r="M152" s="439"/>
      <c r="N152" s="439"/>
      <c r="O152" s="439"/>
      <c r="P152" s="439"/>
      <c r="Q152" s="439"/>
    </row>
    <row r="153" spans="1:17" x14ac:dyDescent="0.25">
      <c r="A153" s="1273"/>
      <c r="B153" s="439"/>
      <c r="C153" s="439"/>
      <c r="D153" s="439"/>
      <c r="E153" s="439"/>
      <c r="F153" s="439"/>
      <c r="G153" s="439"/>
      <c r="H153" s="439"/>
      <c r="I153" s="439"/>
      <c r="J153" s="439"/>
      <c r="K153" s="439"/>
      <c r="L153" s="439"/>
      <c r="M153" s="439"/>
      <c r="N153" s="439"/>
      <c r="O153" s="439"/>
      <c r="P153" s="439"/>
      <c r="Q153" s="439"/>
    </row>
    <row r="154" spans="1:17" x14ac:dyDescent="0.25">
      <c r="A154" s="1238"/>
    </row>
    <row r="155" spans="1:17" x14ac:dyDescent="0.25">
      <c r="A155" s="1238"/>
    </row>
    <row r="156" spans="1:17" x14ac:dyDescent="0.25">
      <c r="A156" s="1238"/>
    </row>
    <row r="157" spans="1:17" x14ac:dyDescent="0.25">
      <c r="A157" s="1238"/>
    </row>
    <row r="158" spans="1:17" x14ac:dyDescent="0.25">
      <c r="A158" s="1238"/>
    </row>
    <row r="159" spans="1:17" x14ac:dyDescent="0.25">
      <c r="A159" s="1238"/>
    </row>
    <row r="160" spans="1:17" x14ac:dyDescent="0.25">
      <c r="A160" s="1238"/>
    </row>
    <row r="161" spans="1:1" x14ac:dyDescent="0.25">
      <c r="A161" s="1238"/>
    </row>
    <row r="162" spans="1:1" x14ac:dyDescent="0.25">
      <c r="A162" s="1238"/>
    </row>
    <row r="163" spans="1:1" x14ac:dyDescent="0.25">
      <c r="A163" s="1238"/>
    </row>
    <row r="164" spans="1:1" x14ac:dyDescent="0.25">
      <c r="A164" s="1238"/>
    </row>
    <row r="165" spans="1:1" x14ac:dyDescent="0.25">
      <c r="A165" s="1238"/>
    </row>
    <row r="166" spans="1:1" x14ac:dyDescent="0.25">
      <c r="A166" s="1238"/>
    </row>
    <row r="167" spans="1:1" x14ac:dyDescent="0.25">
      <c r="A167" s="1238"/>
    </row>
    <row r="168" spans="1:1" x14ac:dyDescent="0.25">
      <c r="A168" s="1238"/>
    </row>
    <row r="169" spans="1:1" x14ac:dyDescent="0.25">
      <c r="A169" s="1238"/>
    </row>
    <row r="170" spans="1:1" x14ac:dyDescent="0.25">
      <c r="A170" s="1238"/>
    </row>
    <row r="171" spans="1:1" x14ac:dyDescent="0.25">
      <c r="A171" s="1238"/>
    </row>
    <row r="172" spans="1:1" x14ac:dyDescent="0.25">
      <c r="A172" s="1238"/>
    </row>
    <row r="173" spans="1:1" x14ac:dyDescent="0.25">
      <c r="A173" s="1238"/>
    </row>
    <row r="174" spans="1:1" x14ac:dyDescent="0.25">
      <c r="A174" s="1238"/>
    </row>
    <row r="175" spans="1:1" x14ac:dyDescent="0.25">
      <c r="A175" s="1238"/>
    </row>
    <row r="176" spans="1:1" x14ac:dyDescent="0.25">
      <c r="A176" s="1238"/>
    </row>
    <row r="177" spans="1:1" x14ac:dyDescent="0.25">
      <c r="A177" s="1238"/>
    </row>
    <row r="178" spans="1:1" x14ac:dyDescent="0.25">
      <c r="A178" s="1238"/>
    </row>
    <row r="179" spans="1:1" x14ac:dyDescent="0.25">
      <c r="A179" s="1238"/>
    </row>
    <row r="180" spans="1:1" x14ac:dyDescent="0.25">
      <c r="A180" s="1238"/>
    </row>
    <row r="181" spans="1:1" x14ac:dyDescent="0.25">
      <c r="A181" s="1238"/>
    </row>
    <row r="182" spans="1:1" x14ac:dyDescent="0.25">
      <c r="A182" s="1238"/>
    </row>
    <row r="183" spans="1:1" x14ac:dyDescent="0.25">
      <c r="A183" s="1238"/>
    </row>
    <row r="184" spans="1:1" x14ac:dyDescent="0.25">
      <c r="A184" s="1238"/>
    </row>
    <row r="185" spans="1:1" x14ac:dyDescent="0.25">
      <c r="A185" s="1238"/>
    </row>
    <row r="186" spans="1:1" x14ac:dyDescent="0.25">
      <c r="A186" s="1238"/>
    </row>
    <row r="187" spans="1:1" x14ac:dyDescent="0.25">
      <c r="A187" s="1238"/>
    </row>
    <row r="188" spans="1:1" x14ac:dyDescent="0.25">
      <c r="A188" s="1238"/>
    </row>
    <row r="189" spans="1:1" x14ac:dyDescent="0.25">
      <c r="A189" s="1238"/>
    </row>
    <row r="190" spans="1:1" x14ac:dyDescent="0.25">
      <c r="A190" s="1238"/>
    </row>
    <row r="191" spans="1:1" x14ac:dyDescent="0.25">
      <c r="A191" s="1238"/>
    </row>
    <row r="192" spans="1:1" x14ac:dyDescent="0.25">
      <c r="A192" s="1238"/>
    </row>
    <row r="193" spans="1:1" x14ac:dyDescent="0.25">
      <c r="A193" s="1238"/>
    </row>
    <row r="194" spans="1:1" x14ac:dyDescent="0.25">
      <c r="A194" s="1238"/>
    </row>
    <row r="195" spans="1:1" x14ac:dyDescent="0.25">
      <c r="A195" s="1238"/>
    </row>
    <row r="196" spans="1:1" x14ac:dyDescent="0.25">
      <c r="A196" s="1238"/>
    </row>
    <row r="197" spans="1:1" x14ac:dyDescent="0.25">
      <c r="A197" s="1238"/>
    </row>
    <row r="198" spans="1:1" x14ac:dyDescent="0.25">
      <c r="A198" s="1238"/>
    </row>
    <row r="199" spans="1:1" x14ac:dyDescent="0.25">
      <c r="A199" s="1238"/>
    </row>
    <row r="200" spans="1:1" x14ac:dyDescent="0.25">
      <c r="A200" s="1238"/>
    </row>
    <row r="201" spans="1:1" x14ac:dyDescent="0.25">
      <c r="A201" s="1238"/>
    </row>
    <row r="202" spans="1:1" x14ac:dyDescent="0.25">
      <c r="A202" s="1238"/>
    </row>
    <row r="203" spans="1:1" x14ac:dyDescent="0.25">
      <c r="A203" s="1238"/>
    </row>
    <row r="204" spans="1:1" x14ac:dyDescent="0.25">
      <c r="A204" s="1238"/>
    </row>
    <row r="205" spans="1:1" x14ac:dyDescent="0.25">
      <c r="A205" s="1238"/>
    </row>
    <row r="206" spans="1:1" x14ac:dyDescent="0.25">
      <c r="A206" s="1238"/>
    </row>
    <row r="207" spans="1:1" x14ac:dyDescent="0.25">
      <c r="A207" s="1238"/>
    </row>
    <row r="208" spans="1:1" x14ac:dyDescent="0.25">
      <c r="A208" s="1238"/>
    </row>
    <row r="213" spans="1:1" x14ac:dyDescent="0.25">
      <c r="A213" s="1238"/>
    </row>
    <row r="214" spans="1:1" x14ac:dyDescent="0.25">
      <c r="A214" s="1238"/>
    </row>
    <row r="215" spans="1:1" x14ac:dyDescent="0.25">
      <c r="A215" s="1238"/>
    </row>
    <row r="216" spans="1:1" x14ac:dyDescent="0.25">
      <c r="A216" s="1238"/>
    </row>
    <row r="217" spans="1:1" x14ac:dyDescent="0.25">
      <c r="A217" s="1238"/>
    </row>
    <row r="218" spans="1:1" x14ac:dyDescent="0.25">
      <c r="A218" s="1238"/>
    </row>
    <row r="219" spans="1:1" x14ac:dyDescent="0.25">
      <c r="A219" s="1238"/>
    </row>
    <row r="220" spans="1:1" x14ac:dyDescent="0.25">
      <c r="A220" s="1238"/>
    </row>
    <row r="296" spans="20:22" ht="15.75" thickBot="1" x14ac:dyDescent="0.3"/>
    <row r="297" spans="20:22" x14ac:dyDescent="0.25">
      <c r="T297" s="501" t="str">
        <f t="shared" ref="T297:T306" si="8">B36</f>
        <v>Management</v>
      </c>
      <c r="U297" s="502"/>
      <c r="V297" s="503">
        <f t="shared" ref="V297:V306" si="9">J36</f>
        <v>0.13</v>
      </c>
    </row>
    <row r="298" spans="20:22" x14ac:dyDescent="0.25">
      <c r="T298" s="504" t="str">
        <f t="shared" si="8"/>
        <v>Health &amp; Wellbeing</v>
      </c>
      <c r="U298" s="505"/>
      <c r="V298" s="506">
        <f t="shared" si="9"/>
        <v>0.16</v>
      </c>
    </row>
    <row r="299" spans="20:22" x14ac:dyDescent="0.25">
      <c r="T299" s="504" t="str">
        <f t="shared" si="8"/>
        <v>Energy</v>
      </c>
      <c r="U299" s="505"/>
      <c r="V299" s="506">
        <f t="shared" si="9"/>
        <v>0.14000000000000001</v>
      </c>
    </row>
    <row r="300" spans="20:22" x14ac:dyDescent="0.25">
      <c r="T300" s="504" t="str">
        <f t="shared" si="8"/>
        <v>Transport</v>
      </c>
      <c r="U300" s="505"/>
      <c r="V300" s="506">
        <f t="shared" si="9"/>
        <v>0.1</v>
      </c>
    </row>
    <row r="301" spans="20:22" x14ac:dyDescent="0.25">
      <c r="T301" s="504" t="str">
        <f t="shared" si="8"/>
        <v>Water</v>
      </c>
      <c r="U301" s="505"/>
      <c r="V301" s="506">
        <f t="shared" si="9"/>
        <v>0.04</v>
      </c>
    </row>
    <row r="302" spans="20:22" x14ac:dyDescent="0.25">
      <c r="T302" s="504" t="str">
        <f t="shared" si="8"/>
        <v>Materials</v>
      </c>
      <c r="U302" s="505"/>
      <c r="V302" s="506">
        <f t="shared" si="9"/>
        <v>0.17</v>
      </c>
    </row>
    <row r="303" spans="20:22" x14ac:dyDescent="0.25">
      <c r="T303" s="504" t="str">
        <f t="shared" si="8"/>
        <v>Waste</v>
      </c>
      <c r="U303" s="505"/>
      <c r="V303" s="506">
        <f t="shared" si="9"/>
        <v>7.0000000000000007E-2</v>
      </c>
    </row>
    <row r="304" spans="20:22" x14ac:dyDescent="0.25">
      <c r="T304" s="504" t="str">
        <f t="shared" si="8"/>
        <v>Land Use &amp; Ecology</v>
      </c>
      <c r="U304" s="505"/>
      <c r="V304" s="506">
        <f t="shared" si="9"/>
        <v>0.15</v>
      </c>
    </row>
    <row r="305" spans="20:22" x14ac:dyDescent="0.25">
      <c r="T305" s="504" t="str">
        <f t="shared" si="8"/>
        <v>Pollution</v>
      </c>
      <c r="U305" s="505"/>
      <c r="V305" s="506">
        <f t="shared" si="9"/>
        <v>0.04</v>
      </c>
    </row>
    <row r="306" spans="20:22" ht="15.75" thickBot="1" x14ac:dyDescent="0.3">
      <c r="T306" s="507" t="str">
        <f t="shared" si="8"/>
        <v>Innovation</v>
      </c>
      <c r="U306" s="508"/>
      <c r="V306" s="509">
        <f t="shared" si="9"/>
        <v>0.1</v>
      </c>
    </row>
  </sheetData>
  <sheetProtection algorithmName="SHA-512" hashValue="Z6vXg3TLXXQhprBnLvjm8FYf+/uX6wIQ6HiAtcC2MzR13mrqkZoeOZ3WMxyx7GUqd7wfa+zCgb/r7YwAXdL2zw==" saltValue="OJGla/bQlLXQbqJZKdkPsA==" spinCount="100000" sheet="1" objects="1" scenarios="1"/>
  <mergeCells count="23">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 ref="D34:E34"/>
    <mergeCell ref="F34:G34"/>
    <mergeCell ref="H34:I34"/>
    <mergeCell ref="Z10:AN13"/>
    <mergeCell ref="D9:E9"/>
    <mergeCell ref="F9:G9"/>
    <mergeCell ref="H9:I9"/>
    <mergeCell ref="K34:M34"/>
  </mergeCells>
  <conditionalFormatting sqref="K35">
    <cfRule type="expression" dxfId="490" priority="360">
      <formula>$D$9=$AA$37</formula>
    </cfRule>
  </conditionalFormatting>
  <conditionalFormatting sqref="L35">
    <cfRule type="expression" dxfId="489" priority="361">
      <formula>$F$9=$AA$37</formula>
    </cfRule>
  </conditionalFormatting>
  <conditionalFormatting sqref="M35">
    <cfRule type="expression" dxfId="488" priority="362">
      <formula>$H$9=$AA$37</formula>
    </cfRule>
  </conditionalFormatting>
  <conditionalFormatting sqref="D10:E11 D13:E13 D12">
    <cfRule type="expression" dxfId="487" priority="233">
      <formula>$D$9=$AA$37</formula>
    </cfRule>
  </conditionalFormatting>
  <conditionalFormatting sqref="F10:G11 F13:G13 F12">
    <cfRule type="expression" dxfId="486" priority="232">
      <formula>$F$9=$AA$37</formula>
    </cfRule>
  </conditionalFormatting>
  <conditionalFormatting sqref="H10:I11 H13:I13 H12">
    <cfRule type="expression" dxfId="485" priority="231">
      <formula>$H$9=$AA$37</formula>
    </cfRule>
  </conditionalFormatting>
  <conditionalFormatting sqref="D34:E35 K69:K72 K79:K81">
    <cfRule type="expression" dxfId="484" priority="30">
      <formula>$D$9=AD_no</formula>
    </cfRule>
  </conditionalFormatting>
  <conditionalFormatting sqref="F34:G35 L69:L72 L79:L81">
    <cfRule type="expression" dxfId="483" priority="29">
      <formula>$F$9=AD_no</formula>
    </cfRule>
  </conditionalFormatting>
  <conditionalFormatting sqref="H34:I35 M69:M72 M79:M81">
    <cfRule type="expression" dxfId="482" priority="28">
      <formula>$H$9=AD_no</formula>
    </cfRule>
  </conditionalFormatting>
  <conditionalFormatting sqref="D36:E46">
    <cfRule type="expression" dxfId="481" priority="227">
      <formula>$D$9=AD_no</formula>
    </cfRule>
  </conditionalFormatting>
  <conditionalFormatting sqref="F36:G46">
    <cfRule type="expression" dxfId="480" priority="226">
      <formula>$F$9=AD_no</formula>
    </cfRule>
  </conditionalFormatting>
  <conditionalFormatting sqref="K36:K48">
    <cfRule type="expression" dxfId="479" priority="225">
      <formula>$D$9=AD_no</formula>
    </cfRule>
  </conditionalFormatting>
  <conditionalFormatting sqref="L36:L48">
    <cfRule type="expression" dxfId="478" priority="224">
      <formula>$F$9=AD_no</formula>
    </cfRule>
  </conditionalFormatting>
  <conditionalFormatting sqref="H36:I46">
    <cfRule type="expression" dxfId="477" priority="223">
      <formula>$H$9=AD_no</formula>
    </cfRule>
  </conditionalFormatting>
  <conditionalFormatting sqref="M36:M48">
    <cfRule type="expression" dxfId="476" priority="222">
      <formula>$H$9=AD_no</formula>
    </cfRule>
  </conditionalFormatting>
  <conditionalFormatting sqref="K49">
    <cfRule type="expression" dxfId="475" priority="221">
      <formula>$D$9=AD_no</formula>
    </cfRule>
  </conditionalFormatting>
  <conditionalFormatting sqref="L49">
    <cfRule type="expression" dxfId="474" priority="220">
      <formula>$F$9=AD_no</formula>
    </cfRule>
  </conditionalFormatting>
  <conditionalFormatting sqref="M49">
    <cfRule type="expression" dxfId="473" priority="219">
      <formula>$H$9=AD_no</formula>
    </cfRule>
  </conditionalFormatting>
  <conditionalFormatting sqref="K52">
    <cfRule type="expression" dxfId="472" priority="216">
      <formula>$D$9=$AA$37</formula>
    </cfRule>
  </conditionalFormatting>
  <conditionalFormatting sqref="L52">
    <cfRule type="expression" dxfId="471" priority="217">
      <formula>$F$9=$AA$37</formula>
    </cfRule>
  </conditionalFormatting>
  <conditionalFormatting sqref="M52">
    <cfRule type="expression" dxfId="470" priority="218">
      <formula>$H$9=$AA$37</formula>
    </cfRule>
  </conditionalFormatting>
  <conditionalFormatting sqref="K54">
    <cfRule type="expression" dxfId="469" priority="27">
      <formula>$D$9=AD_no</formula>
    </cfRule>
  </conditionalFormatting>
  <conditionalFormatting sqref="L54">
    <cfRule type="expression" dxfId="468" priority="26">
      <formula>$F$9=AD_no</formula>
    </cfRule>
  </conditionalFormatting>
  <conditionalFormatting sqref="M54">
    <cfRule type="expression" dxfId="467" priority="25">
      <formula>$H$9=AD_no</formula>
    </cfRule>
  </conditionalFormatting>
  <conditionalFormatting sqref="J52">
    <cfRule type="expression" dxfId="466" priority="37">
      <formula>$D$9=$AA$37</formula>
    </cfRule>
  </conditionalFormatting>
  <conditionalFormatting sqref="K55">
    <cfRule type="expression" dxfId="465" priority="24">
      <formula>$D$9=AD_no</formula>
    </cfRule>
  </conditionalFormatting>
  <conditionalFormatting sqref="L55">
    <cfRule type="expression" dxfId="464" priority="23">
      <formula>$F$9=AD_no</formula>
    </cfRule>
  </conditionalFormatting>
  <conditionalFormatting sqref="M55">
    <cfRule type="expression" dxfId="463" priority="22">
      <formula>$H$9=AD_no</formula>
    </cfRule>
  </conditionalFormatting>
  <conditionalFormatting sqref="K56">
    <cfRule type="expression" dxfId="462" priority="21">
      <formula>$D$9=AD_no</formula>
    </cfRule>
  </conditionalFormatting>
  <conditionalFormatting sqref="L56">
    <cfRule type="expression" dxfId="461" priority="20">
      <formula>$F$9=AD_no</formula>
    </cfRule>
  </conditionalFormatting>
  <conditionalFormatting sqref="M56">
    <cfRule type="expression" dxfId="460" priority="19">
      <formula>$H$9=AD_no</formula>
    </cfRule>
  </conditionalFormatting>
  <conditionalFormatting sqref="K59">
    <cfRule type="expression" dxfId="459" priority="18">
      <formula>$D$9=AD_no</formula>
    </cfRule>
  </conditionalFormatting>
  <conditionalFormatting sqref="L59">
    <cfRule type="expression" dxfId="458" priority="17">
      <formula>$F$9=AD_no</formula>
    </cfRule>
  </conditionalFormatting>
  <conditionalFormatting sqref="M59">
    <cfRule type="expression" dxfId="457" priority="16">
      <formula>$H$9=AD_no</formula>
    </cfRule>
  </conditionalFormatting>
  <conditionalFormatting sqref="K62:K63">
    <cfRule type="expression" dxfId="456" priority="15">
      <formula>$D$9=AD_no</formula>
    </cfRule>
  </conditionalFormatting>
  <conditionalFormatting sqref="L62:L63">
    <cfRule type="expression" dxfId="455" priority="14">
      <formula>$F$9=AD_no</formula>
    </cfRule>
  </conditionalFormatting>
  <conditionalFormatting sqref="M62:M63">
    <cfRule type="expression" dxfId="454" priority="13">
      <formula>$H$9=AD_no</formula>
    </cfRule>
  </conditionalFormatting>
  <conditionalFormatting sqref="K66">
    <cfRule type="expression" dxfId="453" priority="9">
      <formula>$D$9=AD_no</formula>
    </cfRule>
  </conditionalFormatting>
  <conditionalFormatting sqref="L66">
    <cfRule type="expression" dxfId="452" priority="8">
      <formula>$F$9=AD_no</formula>
    </cfRule>
  </conditionalFormatting>
  <conditionalFormatting sqref="M66">
    <cfRule type="expression" dxfId="451" priority="7">
      <formula>$H$9=AD_no</formula>
    </cfRule>
  </conditionalFormatting>
  <conditionalFormatting sqref="K75:K76">
    <cfRule type="expression" dxfId="450" priority="3">
      <formula>$D$9=AD_no</formula>
    </cfRule>
  </conditionalFormatting>
  <conditionalFormatting sqref="L75:L76">
    <cfRule type="expression" dxfId="449" priority="2">
      <formula>$F$9=AD_no</formula>
    </cfRule>
  </conditionalFormatting>
  <conditionalFormatting sqref="M75:M76">
    <cfRule type="expression" dxfId="448" priority="1">
      <formula>$H$9=AD_no</formula>
    </cfRule>
  </conditionalFormatting>
  <conditionalFormatting sqref="K54:M56 K66:M66 K75:M76 K69:M72 K79:M81 K59:M59 K62:M63">
    <cfRule type="expression" dxfId="447" priority="6889">
      <formula>$J54&lt;&gt;K54</formula>
    </cfRule>
  </conditionalFormatting>
  <conditionalFormatting sqref="K54:K81">
    <cfRule type="expression" dxfId="446" priority="230">
      <formula>K54&gt;J54</formula>
    </cfRule>
  </conditionalFormatting>
  <conditionalFormatting sqref="L54:L81">
    <cfRule type="expression" dxfId="445" priority="229">
      <formula>L54&gt;J54</formula>
    </cfRule>
  </conditionalFormatting>
  <conditionalFormatting sqref="M53:M81">
    <cfRule type="expression" dxfId="444" priority="228">
      <formula>M53&gt;J53</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ignoredErrors>
    <ignoredError sqref="J70:M7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2"/>
  <sheetViews>
    <sheetView zoomScale="70" zoomScaleNormal="70" zoomScalePageLayoutView="30" workbookViewId="0">
      <pane ySplit="9" topLeftCell="A10" activePane="bottomLeft" state="frozen"/>
      <selection activeCell="H9" sqref="H9:I9"/>
      <selection pane="bottomLeft" activeCell="K241" sqref="K241"/>
    </sheetView>
  </sheetViews>
  <sheetFormatPr defaultColWidth="9.140625" defaultRowHeight="15" x14ac:dyDescent="0.25"/>
  <cols>
    <col min="1" max="1" width="15.7109375" style="387" hidden="1" customWidth="1"/>
    <col min="2" max="2" width="28.5703125" style="387" hidden="1" customWidth="1"/>
    <col min="3" max="3" width="5.7109375" style="387" customWidth="1"/>
    <col min="4" max="4" width="16.7109375" style="387" bestFit="1" customWidth="1"/>
    <col min="5" max="5" width="66.85546875" style="8" customWidth="1"/>
    <col min="6" max="6" width="12.85546875" style="387" bestFit="1" customWidth="1"/>
    <col min="7" max="7" width="15" style="387" customWidth="1"/>
    <col min="8" max="8" width="15.42578125" style="387" bestFit="1" customWidth="1"/>
    <col min="9" max="9" width="22.42578125" style="387" bestFit="1" customWidth="1"/>
    <col min="10" max="10" width="12.85546875" style="387" bestFit="1" customWidth="1"/>
    <col min="11" max="11" width="8.140625" style="387" bestFit="1" customWidth="1"/>
    <col min="12" max="12" width="36.42578125" style="387" customWidth="1"/>
    <col min="13" max="13" width="1.7109375" style="386" customWidth="1"/>
    <col min="14" max="14" width="26.85546875" style="387" customWidth="1"/>
    <col min="15" max="15" width="14.28515625" style="387" bestFit="1" customWidth="1"/>
    <col min="16" max="16" width="21.5703125" style="387" bestFit="1" customWidth="1"/>
    <col min="17" max="17" width="10.7109375" style="387" bestFit="1" customWidth="1"/>
    <col min="18" max="18" width="10.5703125" style="387" bestFit="1" customWidth="1"/>
    <col min="19" max="19" width="20" style="387" bestFit="1" customWidth="1"/>
    <col min="20" max="20" width="3.85546875" style="386" bestFit="1" customWidth="1"/>
    <col min="21" max="21" width="15.42578125" style="387" customWidth="1"/>
    <col min="22" max="22" width="12" style="387" bestFit="1" customWidth="1"/>
    <col min="23" max="23" width="22.42578125" style="387" bestFit="1" customWidth="1"/>
    <col min="24" max="24" width="10.7109375" style="387" bestFit="1" customWidth="1"/>
    <col min="25" max="25" width="10.5703125" style="387" bestFit="1" customWidth="1"/>
    <col min="26" max="26" width="20" style="387" bestFit="1" customWidth="1"/>
    <col min="27" max="27" width="5" style="387" hidden="1" customWidth="1"/>
    <col min="28" max="28" width="16" style="386" hidden="1" customWidth="1"/>
    <col min="29" max="31" width="1.7109375" style="386" hidden="1" customWidth="1"/>
    <col min="32" max="32" width="2.5703125" style="386" hidden="1" customWidth="1"/>
    <col min="33" max="33" width="9.140625" style="387" hidden="1" customWidth="1"/>
    <col min="34" max="34" width="4.28515625" style="387" hidden="1" customWidth="1"/>
    <col min="35" max="36" width="9.140625" style="387" customWidth="1"/>
    <col min="37" max="37" width="11.85546875" style="387" customWidth="1"/>
    <col min="38" max="38" width="2" style="387" customWidth="1"/>
    <col min="39" max="78" width="9.140625" style="387" customWidth="1"/>
    <col min="79" max="16384" width="9.140625" style="387"/>
  </cols>
  <sheetData>
    <row r="1" spans="1:50" ht="48" customHeight="1" x14ac:dyDescent="0.25">
      <c r="A1" s="384"/>
      <c r="B1" s="384"/>
      <c r="C1" s="384"/>
      <c r="D1" s="510"/>
      <c r="E1" s="1214" t="s">
        <v>1131</v>
      </c>
      <c r="F1" s="510"/>
      <c r="G1" s="510"/>
      <c r="H1" s="510"/>
      <c r="I1" s="510"/>
      <c r="J1" s="510"/>
      <c r="K1" s="510"/>
      <c r="L1" s="511" t="s">
        <v>332</v>
      </c>
      <c r="M1" s="510"/>
      <c r="N1" s="510"/>
      <c r="O1" s="510"/>
      <c r="P1" s="510"/>
      <c r="Q1" s="510"/>
      <c r="R1" s="510"/>
      <c r="S1" s="510"/>
      <c r="T1" s="510"/>
      <c r="U1" s="510"/>
      <c r="V1" s="510"/>
      <c r="W1" s="510"/>
      <c r="X1" s="510"/>
      <c r="Y1" s="510"/>
      <c r="Z1" s="633" t="str">
        <f>IF('Manuell filtrering og justering'!I2='Manuell filtrering og justering'!J2,"Bespoke","")</f>
        <v/>
      </c>
      <c r="AA1" s="633"/>
      <c r="AB1" s="385"/>
      <c r="AC1" s="364"/>
      <c r="AD1" s="364"/>
      <c r="AE1" s="364"/>
    </row>
    <row r="2" spans="1:50" s="388" customFormat="1" ht="15.75" x14ac:dyDescent="0.25">
      <c r="D2" s="388">
        <v>3</v>
      </c>
      <c r="E2" s="1225">
        <v>5</v>
      </c>
      <c r="F2" s="415">
        <v>6</v>
      </c>
      <c r="G2" s="415">
        <v>7</v>
      </c>
      <c r="H2" s="415">
        <v>8</v>
      </c>
      <c r="I2" s="415">
        <v>9</v>
      </c>
      <c r="J2" s="415">
        <v>10</v>
      </c>
      <c r="K2" s="415">
        <v>11</v>
      </c>
      <c r="L2" s="415">
        <v>12</v>
      </c>
      <c r="M2" s="415"/>
      <c r="N2" s="415">
        <v>14</v>
      </c>
      <c r="O2" s="415">
        <v>15</v>
      </c>
      <c r="P2" s="415">
        <v>16</v>
      </c>
      <c r="Q2" s="415">
        <v>17</v>
      </c>
      <c r="R2" s="415">
        <v>18</v>
      </c>
      <c r="S2" s="415">
        <v>19</v>
      </c>
      <c r="T2" s="415">
        <v>20</v>
      </c>
      <c r="U2" s="415">
        <v>21</v>
      </c>
      <c r="V2" s="415">
        <v>22</v>
      </c>
      <c r="W2" s="415">
        <v>23</v>
      </c>
      <c r="X2" s="415">
        <v>24</v>
      </c>
      <c r="Y2" s="415">
        <v>25</v>
      </c>
      <c r="Z2" s="415">
        <v>26</v>
      </c>
      <c r="AA2" s="415"/>
      <c r="AB2" s="273">
        <v>24</v>
      </c>
      <c r="AC2" s="273"/>
      <c r="AD2" s="273"/>
      <c r="AE2" s="273"/>
      <c r="AF2" s="389"/>
      <c r="AG2" s="390"/>
    </row>
    <row r="3" spans="1:50" ht="26.25" x14ac:dyDescent="0.4">
      <c r="A3" s="95"/>
      <c r="B3" s="95"/>
      <c r="C3" s="95"/>
      <c r="D3" s="398"/>
      <c r="E3" s="1215"/>
      <c r="F3" s="391"/>
      <c r="G3" s="371" t="s">
        <v>216</v>
      </c>
      <c r="H3" s="392"/>
      <c r="I3" s="392"/>
      <c r="J3" s="392"/>
      <c r="K3" s="393"/>
      <c r="L3" s="394"/>
      <c r="M3" s="395"/>
      <c r="N3" s="371" t="s">
        <v>221</v>
      </c>
      <c r="O3" s="371"/>
      <c r="P3" s="371"/>
      <c r="Q3" s="392"/>
      <c r="R3" s="392"/>
      <c r="S3" s="392"/>
      <c r="T3" s="395"/>
      <c r="U3" s="371" t="s">
        <v>222</v>
      </c>
      <c r="V3" s="371"/>
      <c r="W3" s="371"/>
      <c r="X3" s="392"/>
      <c r="Y3" s="392"/>
      <c r="Z3" s="396"/>
      <c r="AA3" s="396"/>
      <c r="AB3" s="688" t="s">
        <v>424</v>
      </c>
      <c r="AC3" s="397"/>
      <c r="AD3" s="397"/>
      <c r="AE3" s="397"/>
    </row>
    <row r="4" spans="1:50" s="401" customFormat="1" x14ac:dyDescent="0.25">
      <c r="A4" s="95"/>
      <c r="B4" s="95"/>
      <c r="C4" s="95"/>
      <c r="D4" s="1216"/>
      <c r="E4" s="1216" t="s">
        <v>393</v>
      </c>
      <c r="F4" s="399"/>
      <c r="G4" s="373" t="s">
        <v>313</v>
      </c>
      <c r="H4" s="374"/>
      <c r="I4" s="375"/>
      <c r="J4" s="376" t="str">
        <f>'Pre-Assessment Estimator'!L4</f>
        <v>Unclassified</v>
      </c>
      <c r="K4" s="377"/>
      <c r="L4" s="381" t="s">
        <v>297</v>
      </c>
      <c r="M4" s="400"/>
      <c r="N4" s="373" t="s">
        <v>313</v>
      </c>
      <c r="O4" s="374"/>
      <c r="P4" s="374"/>
      <c r="Q4" s="374"/>
      <c r="R4" s="374"/>
      <c r="S4" s="377" t="str">
        <f>'Pre-Assessment Estimator'!S4</f>
        <v/>
      </c>
      <c r="T4" s="400"/>
      <c r="U4" s="373" t="s">
        <v>313</v>
      </c>
      <c r="V4" s="374"/>
      <c r="W4" s="374"/>
      <c r="X4" s="374"/>
      <c r="Y4" s="374"/>
      <c r="Z4" s="372" t="str">
        <f>'Pre-Assessment Estimator'!Z4</f>
        <v/>
      </c>
      <c r="AA4" s="690"/>
      <c r="AB4" s="693" t="str">
        <f>IF('Pre-Assessment Estimator'!AJ4=ais_ja,"Option 2: 50% of","")</f>
        <v/>
      </c>
      <c r="AF4" s="386"/>
      <c r="AG4" s="402"/>
      <c r="AP4" s="403"/>
    </row>
    <row r="5" spans="1:50" s="401" customFormat="1" x14ac:dyDescent="0.25">
      <c r="A5" s="95"/>
      <c r="B5" s="95"/>
      <c r="C5" s="95"/>
      <c r="D5" s="1217"/>
      <c r="E5" s="1217" t="str">
        <f>'Pre-Assessment Estimator'!E5</f>
        <v/>
      </c>
      <c r="F5" s="399"/>
      <c r="G5" s="373" t="s">
        <v>85</v>
      </c>
      <c r="H5" s="374"/>
      <c r="I5" s="375"/>
      <c r="J5" s="378">
        <f>'Pre-Assessment Estimator'!L5</f>
        <v>0</v>
      </c>
      <c r="K5" s="379"/>
      <c r="L5" s="381" t="s">
        <v>298</v>
      </c>
      <c r="M5" s="400"/>
      <c r="N5" s="373" t="s">
        <v>85</v>
      </c>
      <c r="O5" s="374"/>
      <c r="P5" s="374"/>
      <c r="Q5" s="374"/>
      <c r="R5" s="374"/>
      <c r="S5" s="377" t="str">
        <f>'Pre-Assessment Estimator'!S5</f>
        <v/>
      </c>
      <c r="T5" s="400"/>
      <c r="U5" s="373" t="s">
        <v>85</v>
      </c>
      <c r="V5" s="374"/>
      <c r="W5" s="374"/>
      <c r="X5" s="374"/>
      <c r="Y5" s="374"/>
      <c r="Z5" s="372" t="str">
        <f>'Pre-Assessment Estimator'!Z5</f>
        <v/>
      </c>
      <c r="AA5" s="691"/>
      <c r="AB5" s="693" t="str">
        <f>IF('Pre-Assessment Estimator'!AJ4=ais_ja,"achieved credit is","")</f>
        <v/>
      </c>
      <c r="AF5" s="386"/>
      <c r="AG5" s="404"/>
    </row>
    <row r="6" spans="1:50" s="401" customFormat="1" x14ac:dyDescent="0.25">
      <c r="A6" s="95"/>
      <c r="B6" s="95"/>
      <c r="C6" s="95"/>
      <c r="D6" s="1218"/>
      <c r="E6" s="1218" t="str">
        <f>'Pre-Assessment Estimator'!E6</f>
        <v>Pre-Assessment Estimator Version: 1.1</v>
      </c>
      <c r="F6" s="399"/>
      <c r="G6" s="373" t="s">
        <v>80</v>
      </c>
      <c r="H6" s="374"/>
      <c r="I6" s="375"/>
      <c r="J6" s="378" t="str">
        <f>'Pre-Assessment Estimator'!L6</f>
        <v>Unclassified &lt;30%</v>
      </c>
      <c r="K6" s="379"/>
      <c r="L6" s="381" t="s">
        <v>299</v>
      </c>
      <c r="M6" s="400"/>
      <c r="N6" s="373" t="s">
        <v>80</v>
      </c>
      <c r="O6" s="374"/>
      <c r="P6" s="374"/>
      <c r="Q6" s="374"/>
      <c r="R6" s="374"/>
      <c r="S6" s="377" t="str">
        <f>'Pre-Assessment Estimator'!S6</f>
        <v/>
      </c>
      <c r="T6" s="400"/>
      <c r="U6" s="373" t="s">
        <v>80</v>
      </c>
      <c r="V6" s="374"/>
      <c r="W6" s="374"/>
      <c r="X6" s="374"/>
      <c r="Y6" s="374"/>
      <c r="Z6" s="372" t="str">
        <f>'Pre-Assessment Estimator'!Z6</f>
        <v/>
      </c>
      <c r="AA6" s="691"/>
      <c r="AB6" s="693"/>
      <c r="AF6" s="386"/>
      <c r="AG6" s="404"/>
    </row>
    <row r="7" spans="1:50" s="401" customFormat="1" x14ac:dyDescent="0.25">
      <c r="A7" s="95"/>
      <c r="B7" s="95"/>
      <c r="C7" s="95"/>
      <c r="D7" s="1218"/>
      <c r="E7" s="1218" t="str">
        <f>'Pre-Assessment Estimator'!E7</f>
        <v>New Construction (fully fitted)</v>
      </c>
      <c r="F7" s="399"/>
      <c r="G7" s="373" t="s">
        <v>971</v>
      </c>
      <c r="H7" s="374"/>
      <c r="I7" s="375"/>
      <c r="J7" s="378" t="str">
        <f>'Pre-Assessment Estimator'!L7</f>
        <v>No</v>
      </c>
      <c r="K7" s="380"/>
      <c r="L7" s="381"/>
      <c r="M7" s="400"/>
      <c r="N7" s="373" t="s">
        <v>971</v>
      </c>
      <c r="O7" s="374"/>
      <c r="P7" s="374"/>
      <c r="Q7" s="374"/>
      <c r="R7" s="374"/>
      <c r="S7" s="377" t="str">
        <f>'Pre-Assessment Estimator'!S7</f>
        <v/>
      </c>
      <c r="T7" s="400"/>
      <c r="U7" s="373" t="s">
        <v>971</v>
      </c>
      <c r="V7" s="374"/>
      <c r="W7" s="374"/>
      <c r="X7" s="374"/>
      <c r="Y7" s="374"/>
      <c r="Z7" s="372" t="str">
        <f>'Pre-Assessment Estimator'!Z7</f>
        <v/>
      </c>
      <c r="AA7" s="692"/>
      <c r="AB7" s="694" t="str">
        <f>IF('Pre-Assessment Estimator'!AJ4=ais_ja,"subtracted from score.","")</f>
        <v/>
      </c>
      <c r="AF7" s="386"/>
      <c r="AG7" s="404"/>
    </row>
    <row r="8" spans="1:50" s="401" customFormat="1" x14ac:dyDescent="0.25">
      <c r="D8" s="1236"/>
      <c r="E8" s="1237" t="str">
        <f>'Pre-Assessment Estimator'!E8</f>
        <v/>
      </c>
      <c r="F8" s="406"/>
      <c r="G8" s="407"/>
      <c r="H8" s="406"/>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row>
    <row r="9" spans="1:50" ht="30.75" x14ac:dyDescent="0.3">
      <c r="A9" s="409" t="s">
        <v>218</v>
      </c>
      <c r="B9" s="409" t="s">
        <v>219</v>
      </c>
      <c r="C9" s="409"/>
      <c r="D9" s="1219"/>
      <c r="E9" s="1219" t="s">
        <v>1133</v>
      </c>
      <c r="F9" s="1203" t="s">
        <v>101</v>
      </c>
      <c r="G9" s="567" t="s">
        <v>43</v>
      </c>
      <c r="H9" s="1204" t="s">
        <v>102</v>
      </c>
      <c r="I9" s="1205" t="s">
        <v>49</v>
      </c>
      <c r="J9" s="1206" t="s">
        <v>300</v>
      </c>
      <c r="K9" s="1207" t="s">
        <v>260</v>
      </c>
      <c r="L9" s="1208" t="s">
        <v>223</v>
      </c>
      <c r="M9" s="1209"/>
      <c r="N9" s="568" t="s">
        <v>43</v>
      </c>
      <c r="O9" s="568" t="s">
        <v>826</v>
      </c>
      <c r="P9" s="568" t="s">
        <v>49</v>
      </c>
      <c r="Q9" s="1210" t="s">
        <v>300</v>
      </c>
      <c r="R9" s="1210" t="s">
        <v>260</v>
      </c>
      <c r="S9" s="1211" t="s">
        <v>261</v>
      </c>
      <c r="T9" s="1212"/>
      <c r="U9" s="568" t="s">
        <v>43</v>
      </c>
      <c r="V9" s="568" t="s">
        <v>826</v>
      </c>
      <c r="W9" s="568" t="s">
        <v>49</v>
      </c>
      <c r="X9" s="1210" t="s">
        <v>300</v>
      </c>
      <c r="Y9" s="1210" t="s">
        <v>260</v>
      </c>
      <c r="Z9" s="1213" t="s">
        <v>261</v>
      </c>
      <c r="AA9" s="695"/>
      <c r="AB9" s="689" t="str">
        <f>IF('Pre-Assessment Estimator'!AJ4=ais_ja,"Compliance?","")</f>
        <v/>
      </c>
      <c r="AT9" s="410"/>
      <c r="AX9" s="405"/>
    </row>
    <row r="10" spans="1:50" ht="18.75" x14ac:dyDescent="0.25">
      <c r="A10" s="823">
        <v>1</v>
      </c>
      <c r="B10" s="823" t="s">
        <v>62</v>
      </c>
      <c r="C10" s="823"/>
      <c r="D10" s="569"/>
      <c r="E10" s="569" t="s">
        <v>62</v>
      </c>
      <c r="F10" s="570"/>
      <c r="G10" s="570"/>
      <c r="H10" s="570"/>
      <c r="I10" s="570"/>
      <c r="J10" s="571"/>
      <c r="K10" s="570"/>
      <c r="L10" s="571"/>
      <c r="M10" s="572"/>
      <c r="N10" s="570"/>
      <c r="O10" s="570"/>
      <c r="P10" s="570"/>
      <c r="Q10" s="571"/>
      <c r="R10" s="570"/>
      <c r="S10" s="571"/>
      <c r="T10" s="573"/>
      <c r="U10" s="570"/>
      <c r="V10" s="570"/>
      <c r="W10" s="570"/>
      <c r="X10" s="571"/>
      <c r="Y10" s="570"/>
      <c r="Z10" s="411"/>
      <c r="AA10" s="696">
        <v>1</v>
      </c>
      <c r="AB10" s="697"/>
      <c r="AF10" s="386">
        <f>IF(F2="",1,IF(F2=0,2,1))</f>
        <v>1</v>
      </c>
      <c r="AH10" s="387" t="s">
        <v>296</v>
      </c>
      <c r="AV10" s="412"/>
    </row>
    <row r="11" spans="1:50" x14ac:dyDescent="0.25">
      <c r="A11" s="823">
        <v>2</v>
      </c>
      <c r="B11" s="1234" t="s">
        <v>62</v>
      </c>
      <c r="C11" s="1234"/>
      <c r="D11" s="1256" t="str">
        <f>VLOOKUP($A11,'Pre-Assessment Estimator'!$A$10:$Z$226,D$2,FALSE)</f>
        <v>Man 01</v>
      </c>
      <c r="E11" s="1256" t="str">
        <f>VLOOKUP($A11,'Pre-Assessment Estimator'!$A$10:$Z$226,E$2,FALSE)</f>
        <v>Man 01 Project brief and design</v>
      </c>
      <c r="F11" s="574">
        <f>VLOOKUP($A11,'Pre-Assessment Estimator'!$A$10:$Z$226,F$2,FALSE)</f>
        <v>5</v>
      </c>
      <c r="G11" s="580" t="str">
        <f>IF(VLOOKUP($A11,'Pre-Assessment Estimator'!$A$10:$Z$226,G$2,FALSE)=0,"",VLOOKUP($A11,'Pre-Assessment Estimator'!$A$10:$Z$226,G$2,FALSE))</f>
        <v/>
      </c>
      <c r="H11" s="1220" t="str">
        <f>VLOOKUP($A11,'Pre-Assessment Estimator'!$A$10:$Z$226,H$2,FALSE)</f>
        <v>0 c. 0 %</v>
      </c>
      <c r="I11" s="576" t="str">
        <f>VLOOKUP($A11,'Pre-Assessment Estimator'!$A$10:$Z$226,I$2,FALSE)</f>
        <v>N/A</v>
      </c>
      <c r="J11" s="577" t="str">
        <f>IF(VLOOKUP($A11,'Pre-Assessment Estimator'!$A$10:$Z$226,J$2,FALSE)=0,"",VLOOKUP($A11,'Pre-Assessment Estimator'!$A$10:$Z$226,J$2,FALSE))</f>
        <v/>
      </c>
      <c r="K11" s="577" t="str">
        <f>IF(VLOOKUP($A11,'Pre-Assessment Estimator'!$A$10:$Z$226,K$2,FALSE)=0,"",VLOOKUP($A11,'Pre-Assessment Estimator'!$A$10:$Z$226,K$2,FALSE))</f>
        <v/>
      </c>
      <c r="L11" s="578" t="str">
        <f>IF(VLOOKUP($A11,'Pre-Assessment Estimator'!$A$10:$Z$226,L$2,FALSE)=0,"",VLOOKUP($A11,'Pre-Assessment Estimator'!$A$10:$Z$226,L$2,FALSE))</f>
        <v/>
      </c>
      <c r="M11" s="579"/>
      <c r="N11" s="580" t="str">
        <f>IF(VLOOKUP($A11,'Pre-Assessment Estimator'!$A$10:$Z$226,N$2,FALSE)=0,"",VLOOKUP($A11,'Pre-Assessment Estimator'!$A$10:$Z$226,N$2,FALSE))</f>
        <v/>
      </c>
      <c r="O11" s="575" t="str">
        <f>VLOOKUP($A11,'Pre-Assessment Estimator'!$A$10:$Z$226,O$2,FALSE)</f>
        <v>0 c. 0 %</v>
      </c>
      <c r="P11" s="574" t="str">
        <f>VLOOKUP($A11,'Pre-Assessment Estimator'!$A$10:$Z$226,P$2,FALSE)</f>
        <v>N/A</v>
      </c>
      <c r="Q11" s="577" t="str">
        <f>IF(VLOOKUP($A11,'Pre-Assessment Estimator'!$A$10:$Z$226,Q$2,FALSE)=0,"",VLOOKUP($A11,'Pre-Assessment Estimator'!$A$10:$Z$226,Q$2,FALSE))</f>
        <v/>
      </c>
      <c r="R11" s="577" t="str">
        <f>IF(VLOOKUP($A11,'Pre-Assessment Estimator'!$A$10:$Z$226,R$2,FALSE)=0,"",VLOOKUP($A11,'Pre-Assessment Estimator'!$A$10:$Z$226,R$2,FALSE))</f>
        <v/>
      </c>
      <c r="S11" s="578" t="str">
        <f>IF(VLOOKUP($A11,'Pre-Assessment Estimator'!$A$10:$Z$226,S$2,FALSE)=0,"",VLOOKUP($A11,'Pre-Assessment Estimator'!$A$10:$Z$226,S$2,FALSE))</f>
        <v/>
      </c>
      <c r="T11" s="581"/>
      <c r="U11" s="580" t="str">
        <f>IF(VLOOKUP($A11,'Pre-Assessment Estimator'!$A$10:$Z$226,U$2,FALSE)=0,"",VLOOKUP($A11,'Pre-Assessment Estimator'!$A$10:$Z$226,U$2,FALSE))</f>
        <v/>
      </c>
      <c r="V11" s="575" t="str">
        <f>VLOOKUP($A11,'Pre-Assessment Estimator'!$A$10:$Z$226,V$2,FALSE)</f>
        <v>0 c. 0 %</v>
      </c>
      <c r="W11" s="574" t="str">
        <f>VLOOKUP($A11,'Pre-Assessment Estimator'!$A$10:$Z$226,W$2,FALSE)</f>
        <v>N/A</v>
      </c>
      <c r="X11" s="577" t="str">
        <f>IF(VLOOKUP($A11,'Pre-Assessment Estimator'!$A$10:$Z$226,X$2,FALSE)=0,"",VLOOKUP($A11,'Pre-Assessment Estimator'!$A$10:$Z$226,X$2,FALSE))</f>
        <v/>
      </c>
      <c r="Y11" s="577" t="str">
        <f>IF(VLOOKUP($A11,'Pre-Assessment Estimator'!$A$10:$Z$226,Y$2,FALSE)=0,"",VLOOKUP($A11,'Pre-Assessment Estimator'!$A$10:$Z$226,Y$2,FALSE))</f>
        <v/>
      </c>
      <c r="Z11" s="370" t="str">
        <f>IF(VLOOKUP($A11,'Pre-Assessment Estimator'!$A$10:$Z$226,Z$2,FALSE)=0,"",VLOOKUP($A11,'Pre-Assessment Estimator'!$A$10:$Z$226,Z$2,FALSE))</f>
        <v/>
      </c>
      <c r="AA11" s="696">
        <v>2</v>
      </c>
      <c r="AB11" s="577" t="str">
        <f>IF(VLOOKUP($A11,'Pre-Assessment Estimator'!$A$10:$AB$226,AB$2,FALSE)=0,"",VLOOKUP($A11,'Pre-Assessment Estimator'!$A$10:$AB$226,AB$2,FALSE))</f>
        <v/>
      </c>
      <c r="AF11" s="386">
        <f>IF(F11="",1,IF(F11=0,2,1))</f>
        <v>1</v>
      </c>
      <c r="AH11" s="387" t="s">
        <v>294</v>
      </c>
    </row>
    <row r="12" spans="1:50" x14ac:dyDescent="0.25">
      <c r="A12" s="823">
        <v>3</v>
      </c>
      <c r="B12" s="1234" t="s">
        <v>62</v>
      </c>
      <c r="C12" s="1234"/>
      <c r="D12" s="1257" t="str">
        <f>VLOOKUP($A12,'Pre-Assessment Estimator'!$A$10:$Z$226,D$2,FALSE)</f>
        <v>Man 01</v>
      </c>
      <c r="E12" s="1258" t="str">
        <f>VLOOKUP($A12,'Pre-Assessment Estimator'!$A$10:$Z$226,E$2,FALSE)</f>
        <v>Planning project delivery</v>
      </c>
      <c r="F12" s="574">
        <f>VLOOKUP($A12,'Pre-Assessment Estimator'!$A$10:$Z$226,F$2,FALSE)</f>
        <v>1</v>
      </c>
      <c r="G12" s="580" t="str">
        <f>IF(VLOOKUP($A12,'Pre-Assessment Estimator'!$A$10:$Z$226,G$2,FALSE)=0,"",VLOOKUP($A12,'Pre-Assessment Estimator'!$A$10:$Z$226,G$2,FALSE))</f>
        <v/>
      </c>
      <c r="H12" s="575">
        <f>VLOOKUP($A12,'Pre-Assessment Estimator'!$A$10:$Z$226,H$2,FALSE)</f>
        <v>0</v>
      </c>
      <c r="I12" s="574" t="str">
        <f>VLOOKUP($A12,'Pre-Assessment Estimator'!$A$10:$Z$226,I$2,FALSE)</f>
        <v>Very Good</v>
      </c>
      <c r="J12" s="577" t="str">
        <f>IF(VLOOKUP($A12,'Pre-Assessment Estimator'!$A$10:$Z$226,J$2,FALSE)=0,"",VLOOKUP($A12,'Pre-Assessment Estimator'!$A$10:$Z$226,J$2,FALSE))</f>
        <v/>
      </c>
      <c r="K12" s="577" t="str">
        <f>IF(VLOOKUP($A12,'Pre-Assessment Estimator'!$A$10:$Z$226,K$2,FALSE)=0,"",VLOOKUP($A12,'Pre-Assessment Estimator'!$A$10:$Z$226,K$2,FALSE))</f>
        <v/>
      </c>
      <c r="L12" s="578" t="str">
        <f>IF(VLOOKUP($A12,'Pre-Assessment Estimator'!$A$10:$Z$226,L$2,FALSE)=0,"",VLOOKUP($A12,'Pre-Assessment Estimator'!$A$10:$Z$226,L$2,FALSE))</f>
        <v/>
      </c>
      <c r="M12" s="579"/>
      <c r="N12" s="580" t="str">
        <f>IF(VLOOKUP($A12,'Pre-Assessment Estimator'!$A$10:$Z$226,N$2,FALSE)=0,"",VLOOKUP($A12,'Pre-Assessment Estimator'!$A$10:$Z$226,N$2,FALSE))</f>
        <v/>
      </c>
      <c r="O12" s="575">
        <f>VLOOKUP($A12,'Pre-Assessment Estimator'!$A$10:$Z$226,O$2,FALSE)</f>
        <v>0</v>
      </c>
      <c r="P12" s="574" t="str">
        <f>VLOOKUP($A12,'Pre-Assessment Estimator'!$A$10:$Z$226,P$2,FALSE)</f>
        <v>Very Good</v>
      </c>
      <c r="Q12" s="577" t="str">
        <f>IF(VLOOKUP($A12,'Pre-Assessment Estimator'!$A$10:$Z$226,Q$2,FALSE)=0,"",VLOOKUP($A12,'Pre-Assessment Estimator'!$A$10:$Z$226,Q$2,FALSE))</f>
        <v/>
      </c>
      <c r="R12" s="577" t="str">
        <f>IF(VLOOKUP($A12,'Pre-Assessment Estimator'!$A$10:$Z$226,R$2,FALSE)=0,"",VLOOKUP($A12,'Pre-Assessment Estimator'!$A$10:$Z$226,R$2,FALSE))</f>
        <v/>
      </c>
      <c r="S12" s="578" t="str">
        <f>IF(VLOOKUP($A12,'Pre-Assessment Estimator'!$A$10:$Z$226,S$2,FALSE)=0,"",VLOOKUP($A12,'Pre-Assessment Estimator'!$A$10:$Z$226,S$2,FALSE))</f>
        <v/>
      </c>
      <c r="T12" s="581"/>
      <c r="U12" s="580" t="str">
        <f>IF(VLOOKUP($A12,'Pre-Assessment Estimator'!$A$10:$Z$226,U$2,FALSE)=0,"",VLOOKUP($A12,'Pre-Assessment Estimator'!$A$10:$Z$226,U$2,FALSE))</f>
        <v/>
      </c>
      <c r="V12" s="575">
        <f>VLOOKUP($A12,'Pre-Assessment Estimator'!$A$10:$Z$226,V$2,FALSE)</f>
        <v>0</v>
      </c>
      <c r="W12" s="574" t="str">
        <f>VLOOKUP($A12,'Pre-Assessment Estimator'!$A$10:$Z$226,W$2,FALSE)</f>
        <v>Very Good</v>
      </c>
      <c r="X12" s="577" t="str">
        <f>IF(VLOOKUP($A12,'Pre-Assessment Estimator'!$A$10:$Z$226,X$2,FALSE)=0,"",VLOOKUP($A12,'Pre-Assessment Estimator'!$A$10:$Z$226,X$2,FALSE))</f>
        <v/>
      </c>
      <c r="Y12" s="577" t="str">
        <f>IF(VLOOKUP($A12,'Pre-Assessment Estimator'!$A$10:$Z$226,Y$2,FALSE)=0,"",VLOOKUP($A12,'Pre-Assessment Estimator'!$A$10:$Z$226,Y$2,FALSE))</f>
        <v/>
      </c>
      <c r="Z12" s="370" t="str">
        <f>IF(VLOOKUP($A12,'Pre-Assessment Estimator'!$A$10:$Z$226,Z$2,FALSE)=0,"",VLOOKUP($A12,'Pre-Assessment Estimator'!$A$10:$Z$226,Z$2,FALSE))</f>
        <v/>
      </c>
      <c r="AA12" s="696">
        <v>3</v>
      </c>
      <c r="AB12" s="577" t="str">
        <f>IF(VLOOKUP($A12,'Pre-Assessment Estimator'!$A$10:$AB$226,AB$2,FALSE)=0,"",VLOOKUP($A12,'Pre-Assessment Estimator'!$A$10:$AB$226,AB$2,FALSE))</f>
        <v/>
      </c>
      <c r="AF12" s="386">
        <f>IF(F12="",1,IF(F12=0,2,1))</f>
        <v>1</v>
      </c>
      <c r="AH12" s="387" t="s">
        <v>295</v>
      </c>
      <c r="AL12" s="413"/>
    </row>
    <row r="13" spans="1:50" ht="30" x14ac:dyDescent="0.25">
      <c r="A13" s="823">
        <v>4</v>
      </c>
      <c r="B13" s="1234" t="s">
        <v>62</v>
      </c>
      <c r="C13" s="1234"/>
      <c r="D13" s="1257" t="str">
        <f>VLOOKUP($A13,'Pre-Assessment Estimator'!$A$10:$Z$226,D$2,FALSE)</f>
        <v>Man 01</v>
      </c>
      <c r="E13" s="1258" t="str">
        <f>VLOOKUP($A13,'Pre-Assessment Estimator'!$A$10:$Z$226,E$2,FALSE)</f>
        <v>Climate gas calculation for whole building life cycle (EU taxonomy requirement: criterion 2-3)</v>
      </c>
      <c r="F13" s="574">
        <f>VLOOKUP($A13,'Pre-Assessment Estimator'!$A$10:$Z$226,F$2,FALSE)</f>
        <v>1</v>
      </c>
      <c r="G13" s="580" t="str">
        <f>IF(VLOOKUP($A13,'Pre-Assessment Estimator'!$A$10:$Z$226,G$2,FALSE)=0,"",VLOOKUP($A13,'Pre-Assessment Estimator'!$A$10:$Z$226,G$2,FALSE))</f>
        <v/>
      </c>
      <c r="H13" s="575">
        <f>VLOOKUP($A13,'Pre-Assessment Estimator'!$A$10:$Z$226,H$2,FALSE)</f>
        <v>0</v>
      </c>
      <c r="I13" s="574" t="str">
        <f>VLOOKUP($A13,'Pre-Assessment Estimator'!$A$10:$Z$226,I$2,FALSE)</f>
        <v>Very Good</v>
      </c>
      <c r="J13" s="577" t="str">
        <f>IF(VLOOKUP($A13,'Pre-Assessment Estimator'!$A$10:$Z$226,J$2,FALSE)=0,"",VLOOKUP($A13,'Pre-Assessment Estimator'!$A$10:$Z$226,J$2,FALSE))</f>
        <v/>
      </c>
      <c r="K13" s="577" t="str">
        <f>IF(VLOOKUP($A13,'Pre-Assessment Estimator'!$A$10:$Z$226,K$2,FALSE)=0,"",VLOOKUP($A13,'Pre-Assessment Estimator'!$A$10:$Z$226,K$2,FALSE))</f>
        <v/>
      </c>
      <c r="L13" s="578" t="str">
        <f>IF(VLOOKUP($A13,'Pre-Assessment Estimator'!$A$10:$Z$226,L$2,FALSE)=0,"",VLOOKUP($A13,'Pre-Assessment Estimator'!$A$10:$Z$226,L$2,FALSE))</f>
        <v/>
      </c>
      <c r="M13" s="579"/>
      <c r="N13" s="580" t="str">
        <f>IF(VLOOKUP($A13,'Pre-Assessment Estimator'!$A$10:$Z$226,N$2,FALSE)=0,"",VLOOKUP($A13,'Pre-Assessment Estimator'!$A$10:$Z$226,N$2,FALSE))</f>
        <v/>
      </c>
      <c r="O13" s="575">
        <f>VLOOKUP($A13,'Pre-Assessment Estimator'!$A$10:$Z$226,O$2,FALSE)</f>
        <v>0</v>
      </c>
      <c r="P13" s="574" t="str">
        <f>VLOOKUP($A13,'Pre-Assessment Estimator'!$A$10:$Z$226,P$2,FALSE)</f>
        <v>Very Good</v>
      </c>
      <c r="Q13" s="577" t="str">
        <f>IF(VLOOKUP($A13,'Pre-Assessment Estimator'!$A$10:$Z$226,Q$2,FALSE)=0,"",VLOOKUP($A13,'Pre-Assessment Estimator'!$A$10:$Z$226,Q$2,FALSE))</f>
        <v/>
      </c>
      <c r="R13" s="577" t="str">
        <f>IF(VLOOKUP($A13,'Pre-Assessment Estimator'!$A$10:$Z$226,R$2,FALSE)=0,"",VLOOKUP($A13,'Pre-Assessment Estimator'!$A$10:$Z$226,R$2,FALSE))</f>
        <v/>
      </c>
      <c r="S13" s="578" t="str">
        <f>IF(VLOOKUP($A13,'Pre-Assessment Estimator'!$A$10:$Z$226,S$2,FALSE)=0,"",VLOOKUP($A13,'Pre-Assessment Estimator'!$A$10:$Z$226,S$2,FALSE))</f>
        <v/>
      </c>
      <c r="T13" s="581"/>
      <c r="U13" s="580" t="str">
        <f>IF(VLOOKUP($A13,'Pre-Assessment Estimator'!$A$10:$Z$226,U$2,FALSE)=0,"",VLOOKUP($A13,'Pre-Assessment Estimator'!$A$10:$Z$226,U$2,FALSE))</f>
        <v/>
      </c>
      <c r="V13" s="575">
        <f>VLOOKUP($A13,'Pre-Assessment Estimator'!$A$10:$Z$226,V$2,FALSE)</f>
        <v>0</v>
      </c>
      <c r="W13" s="574" t="str">
        <f>VLOOKUP($A13,'Pre-Assessment Estimator'!$A$10:$Z$226,W$2,FALSE)</f>
        <v>Very Good</v>
      </c>
      <c r="X13" s="577" t="str">
        <f>IF(VLOOKUP($A13,'Pre-Assessment Estimator'!$A$10:$Z$226,X$2,FALSE)=0,"",VLOOKUP($A13,'Pre-Assessment Estimator'!$A$10:$Z$226,X$2,FALSE))</f>
        <v/>
      </c>
      <c r="Y13" s="577" t="str">
        <f>IF(VLOOKUP($A13,'Pre-Assessment Estimator'!$A$10:$Z$226,Y$2,FALSE)=0,"",VLOOKUP($A13,'Pre-Assessment Estimator'!$A$10:$Z$226,Y$2,FALSE))</f>
        <v/>
      </c>
      <c r="Z13" s="370" t="str">
        <f>IF(VLOOKUP($A13,'Pre-Assessment Estimator'!$A$10:$Z$226,Z$2,FALSE)=0,"",VLOOKUP($A13,'Pre-Assessment Estimator'!$A$10:$Z$226,Z$2,FALSE))</f>
        <v/>
      </c>
      <c r="AA13" s="696">
        <v>4</v>
      </c>
      <c r="AB13" s="577" t="str">
        <f>IF(VLOOKUP($A13,'Pre-Assessment Estimator'!$A$10:$AB$226,AB$2,FALSE)=0,"",VLOOKUP($A13,'Pre-Assessment Estimator'!$A$10:$AB$226,AB$2,FALSE))</f>
        <v/>
      </c>
      <c r="AF13" s="386">
        <f>IF(F13="",1,IF(F13=0,2,1))</f>
        <v>1</v>
      </c>
      <c r="AL13" s="413"/>
    </row>
    <row r="14" spans="1:50" x14ac:dyDescent="0.25">
      <c r="A14" s="823">
        <v>5</v>
      </c>
      <c r="B14" s="1234" t="s">
        <v>62</v>
      </c>
      <c r="C14" s="1234"/>
      <c r="D14" s="1257" t="str">
        <f>VLOOKUP($A14,'Pre-Assessment Estimator'!$A$10:$Z$226,D$2,FALSE)</f>
        <v>Man 01</v>
      </c>
      <c r="E14" s="1258" t="str">
        <f>VLOOKUP($A14,'Pre-Assessment Estimator'!$A$10:$Z$226,E$2,FALSE)</f>
        <v>Third party stakeholder consultation</v>
      </c>
      <c r="F14" s="574">
        <f>VLOOKUP($A14,'Pre-Assessment Estimator'!$A$10:$Z$226,F$2,FALSE)</f>
        <v>1</v>
      </c>
      <c r="G14" s="580" t="str">
        <f>IF(VLOOKUP($A14,'Pre-Assessment Estimator'!$A$10:$Z$226,G$2,FALSE)=0,"",VLOOKUP($A14,'Pre-Assessment Estimator'!$A$10:$Z$226,G$2,FALSE))</f>
        <v/>
      </c>
      <c r="H14" s="575">
        <f>VLOOKUP($A14,'Pre-Assessment Estimator'!$A$10:$Z$226,H$2,FALSE)</f>
        <v>0</v>
      </c>
      <c r="I14" s="574" t="str">
        <f>VLOOKUP($A14,'Pre-Assessment Estimator'!$A$10:$Z$226,I$2,FALSE)</f>
        <v>N/A</v>
      </c>
      <c r="J14" s="577" t="str">
        <f>IF(VLOOKUP($A14,'Pre-Assessment Estimator'!$A$10:$Z$226,J$2,FALSE)=0,"",VLOOKUP($A14,'Pre-Assessment Estimator'!$A$10:$Z$226,J$2,FALSE))</f>
        <v/>
      </c>
      <c r="K14" s="577" t="str">
        <f>IF(VLOOKUP($A14,'Pre-Assessment Estimator'!$A$10:$Z$226,K$2,FALSE)=0,"",VLOOKUP($A14,'Pre-Assessment Estimator'!$A$10:$Z$226,K$2,FALSE))</f>
        <v/>
      </c>
      <c r="L14" s="578" t="str">
        <f>IF(VLOOKUP($A14,'Pre-Assessment Estimator'!$A$10:$Z$226,L$2,FALSE)=0,"",VLOOKUP($A14,'Pre-Assessment Estimator'!$A$10:$Z$226,L$2,FALSE))</f>
        <v/>
      </c>
      <c r="M14" s="579"/>
      <c r="N14" s="580" t="str">
        <f>IF(VLOOKUP($A14,'Pre-Assessment Estimator'!$A$10:$Z$226,N$2,FALSE)=0,"",VLOOKUP($A14,'Pre-Assessment Estimator'!$A$10:$Z$226,N$2,FALSE))</f>
        <v/>
      </c>
      <c r="O14" s="575">
        <f>VLOOKUP($A14,'Pre-Assessment Estimator'!$A$10:$Z$226,O$2,FALSE)</f>
        <v>0</v>
      </c>
      <c r="P14" s="574" t="str">
        <f>VLOOKUP($A14,'Pre-Assessment Estimator'!$A$10:$Z$226,P$2,FALSE)</f>
        <v>N/A</v>
      </c>
      <c r="Q14" s="577" t="str">
        <f>IF(VLOOKUP($A14,'Pre-Assessment Estimator'!$A$10:$Z$226,Q$2,FALSE)=0,"",VLOOKUP($A14,'Pre-Assessment Estimator'!$A$10:$Z$226,Q$2,FALSE))</f>
        <v/>
      </c>
      <c r="R14" s="577" t="str">
        <f>IF(VLOOKUP($A14,'Pre-Assessment Estimator'!$A$10:$Z$226,R$2,FALSE)=0,"",VLOOKUP($A14,'Pre-Assessment Estimator'!$A$10:$Z$226,R$2,FALSE))</f>
        <v/>
      </c>
      <c r="S14" s="578" t="str">
        <f>IF(VLOOKUP($A14,'Pre-Assessment Estimator'!$A$10:$Z$226,S$2,FALSE)=0,"",VLOOKUP($A14,'Pre-Assessment Estimator'!$A$10:$Z$226,S$2,FALSE))</f>
        <v/>
      </c>
      <c r="T14" s="581"/>
      <c r="U14" s="580" t="str">
        <f>IF(VLOOKUP($A14,'Pre-Assessment Estimator'!$A$10:$Z$226,U$2,FALSE)=0,"",VLOOKUP($A14,'Pre-Assessment Estimator'!$A$10:$Z$226,U$2,FALSE))</f>
        <v/>
      </c>
      <c r="V14" s="575">
        <f>VLOOKUP($A14,'Pre-Assessment Estimator'!$A$10:$Z$226,V$2,FALSE)</f>
        <v>0</v>
      </c>
      <c r="W14" s="574" t="str">
        <f>VLOOKUP($A14,'Pre-Assessment Estimator'!$A$10:$Z$226,W$2,FALSE)</f>
        <v>N/A</v>
      </c>
      <c r="X14" s="577" t="str">
        <f>IF(VLOOKUP($A14,'Pre-Assessment Estimator'!$A$10:$Z$226,X$2,FALSE)=0,"",VLOOKUP($A14,'Pre-Assessment Estimator'!$A$10:$Z$226,X$2,FALSE))</f>
        <v/>
      </c>
      <c r="Y14" s="577" t="str">
        <f>IF(VLOOKUP($A14,'Pre-Assessment Estimator'!$A$10:$Z$226,Y$2,FALSE)=0,"",VLOOKUP($A14,'Pre-Assessment Estimator'!$A$10:$Z$226,Y$2,FALSE))</f>
        <v/>
      </c>
      <c r="Z14" s="370" t="str">
        <f>IF(VLOOKUP($A14,'Pre-Assessment Estimator'!$A$10:$Z$226,Z$2,FALSE)=0,"",VLOOKUP($A14,'Pre-Assessment Estimator'!$A$10:$Z$226,Z$2,FALSE))</f>
        <v/>
      </c>
      <c r="AA14" s="696">
        <v>5</v>
      </c>
      <c r="AB14" s="577" t="str">
        <f>IF(VLOOKUP($A14,'Pre-Assessment Estimator'!$A$10:$AB$226,AB$2,FALSE)=0,"",VLOOKUP($A14,'Pre-Assessment Estimator'!$A$10:$AB$226,AB$2,FALSE))</f>
        <v/>
      </c>
      <c r="AF14" s="386">
        <f>IF(F14="",1,IF(F14=0,2,1))</f>
        <v>1</v>
      </c>
      <c r="AL14" s="413"/>
      <c r="AN14" s="412"/>
    </row>
    <row r="15" spans="1:50" x14ac:dyDescent="0.25">
      <c r="A15" s="823">
        <v>6</v>
      </c>
      <c r="B15" s="1234" t="s">
        <v>62</v>
      </c>
      <c r="C15" s="1234"/>
      <c r="D15" s="1257" t="str">
        <f>VLOOKUP($A15,'Pre-Assessment Estimator'!$A$10:$Z$226,D$2,FALSE)</f>
        <v>Man 01</v>
      </c>
      <c r="E15" s="1258" t="str">
        <f>VLOOKUP($A15,'Pre-Assessment Estimator'!$A$10:$Z$226,E$2,FALSE)</f>
        <v>BREEAM-NOR AP (stage 2 and 3)</v>
      </c>
      <c r="F15" s="574">
        <f>VLOOKUP($A15,'Pre-Assessment Estimator'!$A$10:$Z$226,F$2,FALSE)</f>
        <v>1</v>
      </c>
      <c r="G15" s="580" t="str">
        <f>IF(VLOOKUP($A15,'Pre-Assessment Estimator'!$A$10:$Z$226,G$2,FALSE)=0,"",VLOOKUP($A15,'Pre-Assessment Estimator'!$A$10:$Z$226,G$2,FALSE))</f>
        <v/>
      </c>
      <c r="H15" s="575">
        <f>VLOOKUP($A15,'Pre-Assessment Estimator'!$A$10:$Z$226,H$2,FALSE)</f>
        <v>0</v>
      </c>
      <c r="I15" s="574" t="str">
        <f>VLOOKUP($A15,'Pre-Assessment Estimator'!$A$10:$Z$226,I$2,FALSE)</f>
        <v>N/A</v>
      </c>
      <c r="J15" s="577" t="str">
        <f>IF(VLOOKUP($A15,'Pre-Assessment Estimator'!$A$10:$Z$226,J$2,FALSE)=0,"",VLOOKUP($A15,'Pre-Assessment Estimator'!$A$10:$Z$226,J$2,FALSE))</f>
        <v/>
      </c>
      <c r="K15" s="577" t="str">
        <f>IF(VLOOKUP($A15,'Pre-Assessment Estimator'!$A$10:$Z$226,K$2,FALSE)=0,"",VLOOKUP($A15,'Pre-Assessment Estimator'!$A$10:$Z$226,K$2,FALSE))</f>
        <v/>
      </c>
      <c r="L15" s="578" t="str">
        <f>IF(VLOOKUP($A15,'Pre-Assessment Estimator'!$A$10:$Z$226,L$2,FALSE)=0,"",VLOOKUP($A15,'Pre-Assessment Estimator'!$A$10:$Z$226,L$2,FALSE))</f>
        <v/>
      </c>
      <c r="M15" s="579"/>
      <c r="N15" s="580" t="str">
        <f>IF(VLOOKUP($A15,'Pre-Assessment Estimator'!$A$10:$Z$226,N$2,FALSE)=0,"",VLOOKUP($A15,'Pre-Assessment Estimator'!$A$10:$Z$226,N$2,FALSE))</f>
        <v/>
      </c>
      <c r="O15" s="575">
        <f>VLOOKUP($A15,'Pre-Assessment Estimator'!$A$10:$Z$226,O$2,FALSE)</f>
        <v>0</v>
      </c>
      <c r="P15" s="574" t="str">
        <f>VLOOKUP($A15,'Pre-Assessment Estimator'!$A$10:$Z$226,P$2,FALSE)</f>
        <v>N/A</v>
      </c>
      <c r="Q15" s="577" t="str">
        <f>IF(VLOOKUP($A15,'Pre-Assessment Estimator'!$A$10:$Z$226,Q$2,FALSE)=0,"",VLOOKUP($A15,'Pre-Assessment Estimator'!$A$10:$Z$226,Q$2,FALSE))</f>
        <v/>
      </c>
      <c r="R15" s="577" t="str">
        <f>IF(VLOOKUP($A15,'Pre-Assessment Estimator'!$A$10:$Z$226,R$2,FALSE)=0,"",VLOOKUP($A15,'Pre-Assessment Estimator'!$A$10:$Z$226,R$2,FALSE))</f>
        <v/>
      </c>
      <c r="S15" s="578" t="str">
        <f>IF(VLOOKUP($A15,'Pre-Assessment Estimator'!$A$10:$Z$226,S$2,FALSE)=0,"",VLOOKUP($A15,'Pre-Assessment Estimator'!$A$10:$Z$226,S$2,FALSE))</f>
        <v/>
      </c>
      <c r="T15" s="581"/>
      <c r="U15" s="580" t="str">
        <f>IF(VLOOKUP($A15,'Pre-Assessment Estimator'!$A$10:$Z$226,U$2,FALSE)=0,"",VLOOKUP($A15,'Pre-Assessment Estimator'!$A$10:$Z$226,U$2,FALSE))</f>
        <v/>
      </c>
      <c r="V15" s="575">
        <f>VLOOKUP($A15,'Pre-Assessment Estimator'!$A$10:$Z$226,V$2,FALSE)</f>
        <v>0</v>
      </c>
      <c r="W15" s="574" t="str">
        <f>VLOOKUP($A15,'Pre-Assessment Estimator'!$A$10:$Z$226,W$2,FALSE)</f>
        <v>N/A</v>
      </c>
      <c r="X15" s="577" t="str">
        <f>IF(VLOOKUP($A15,'Pre-Assessment Estimator'!$A$10:$Z$226,X$2,FALSE)=0,"",VLOOKUP($A15,'Pre-Assessment Estimator'!$A$10:$Z$226,X$2,FALSE))</f>
        <v/>
      </c>
      <c r="Y15" s="577" t="str">
        <f>IF(VLOOKUP($A15,'Pre-Assessment Estimator'!$A$10:$Z$226,Y$2,FALSE)=0,"",VLOOKUP($A15,'Pre-Assessment Estimator'!$A$10:$Z$226,Y$2,FALSE))</f>
        <v/>
      </c>
      <c r="Z15" s="370" t="str">
        <f>IF(VLOOKUP($A15,'Pre-Assessment Estimator'!$A$10:$Z$226,Z$2,FALSE)=0,"",VLOOKUP($A15,'Pre-Assessment Estimator'!$A$10:$Z$226,Z$2,FALSE))</f>
        <v/>
      </c>
      <c r="AA15" s="696">
        <v>6</v>
      </c>
      <c r="AB15" s="577" t="str">
        <f>IF(VLOOKUP($A15,'Pre-Assessment Estimator'!$A$10:$AB$226,AB$2,FALSE)=0,"",VLOOKUP($A15,'Pre-Assessment Estimator'!$A$10:$AB$226,AB$2,FALSE))</f>
        <v/>
      </c>
      <c r="AF15" s="386">
        <f>IF(F15="",1,IF(F15=0,2,1))</f>
        <v>1</v>
      </c>
      <c r="AG15" s="414"/>
      <c r="AL15" s="413"/>
    </row>
    <row r="16" spans="1:50" x14ac:dyDescent="0.25">
      <c r="A16" s="823">
        <v>7</v>
      </c>
      <c r="B16" s="1234" t="s">
        <v>62</v>
      </c>
      <c r="C16" s="1234"/>
      <c r="D16" s="1257" t="str">
        <f>VLOOKUP($A16,'Pre-Assessment Estimator'!$A$10:$Z$226,D$2,FALSE)</f>
        <v>Man 01</v>
      </c>
      <c r="E16" s="1258" t="str">
        <f>VLOOKUP($A16,'Pre-Assessment Estimator'!$A$10:$Z$226,E$2,FALSE)</f>
        <v>BREEAM-NOR AP (stage 4)</v>
      </c>
      <c r="F16" s="574">
        <f>VLOOKUP($A16,'Pre-Assessment Estimator'!$A$10:$Z$226,F$2,FALSE)</f>
        <v>1</v>
      </c>
      <c r="G16" s="580" t="str">
        <f>IF(VLOOKUP($A16,'Pre-Assessment Estimator'!$A$10:$Z$226,G$2,FALSE)=0,"",VLOOKUP($A16,'Pre-Assessment Estimator'!$A$10:$Z$226,G$2,FALSE))</f>
        <v/>
      </c>
      <c r="H16" s="575">
        <f>VLOOKUP($A16,'Pre-Assessment Estimator'!$A$10:$Z$226,H$2,FALSE)</f>
        <v>0</v>
      </c>
      <c r="I16" s="574" t="str">
        <f>VLOOKUP($A16,'Pre-Assessment Estimator'!$A$10:$Z$226,I$2,FALSE)</f>
        <v>N/A</v>
      </c>
      <c r="J16" s="577" t="str">
        <f>IF(VLOOKUP($A16,'Pre-Assessment Estimator'!$A$10:$Z$226,J$2,FALSE)=0,"",VLOOKUP($A16,'Pre-Assessment Estimator'!$A$10:$Z$226,J$2,FALSE))</f>
        <v/>
      </c>
      <c r="K16" s="577" t="str">
        <f>IF(VLOOKUP($A16,'Pre-Assessment Estimator'!$A$10:$Z$226,K$2,FALSE)=0,"",VLOOKUP($A16,'Pre-Assessment Estimator'!$A$10:$Z$226,K$2,FALSE))</f>
        <v/>
      </c>
      <c r="L16" s="578" t="str">
        <f>IF(VLOOKUP($A16,'Pre-Assessment Estimator'!$A$10:$Z$226,L$2,FALSE)=0,"",VLOOKUP($A16,'Pre-Assessment Estimator'!$A$10:$Z$226,L$2,FALSE))</f>
        <v/>
      </c>
      <c r="M16" s="579"/>
      <c r="N16" s="580" t="str">
        <f>IF(VLOOKUP($A16,'Pre-Assessment Estimator'!$A$10:$Z$226,N$2,FALSE)=0,"",VLOOKUP($A16,'Pre-Assessment Estimator'!$A$10:$Z$226,N$2,FALSE))</f>
        <v/>
      </c>
      <c r="O16" s="575">
        <f>VLOOKUP($A16,'Pre-Assessment Estimator'!$A$10:$Z$226,O$2,FALSE)</f>
        <v>0</v>
      </c>
      <c r="P16" s="574" t="str">
        <f>VLOOKUP($A16,'Pre-Assessment Estimator'!$A$10:$Z$226,P$2,FALSE)</f>
        <v>N/A</v>
      </c>
      <c r="Q16" s="577" t="str">
        <f>IF(VLOOKUP($A16,'Pre-Assessment Estimator'!$A$10:$Z$226,Q$2,FALSE)=0,"",VLOOKUP($A16,'Pre-Assessment Estimator'!$A$10:$Z$226,Q$2,FALSE))</f>
        <v/>
      </c>
      <c r="R16" s="577" t="str">
        <f>IF(VLOOKUP($A16,'Pre-Assessment Estimator'!$A$10:$Z$226,R$2,FALSE)=0,"",VLOOKUP($A16,'Pre-Assessment Estimator'!$A$10:$Z$226,R$2,FALSE))</f>
        <v/>
      </c>
      <c r="S16" s="578" t="str">
        <f>IF(VLOOKUP($A16,'Pre-Assessment Estimator'!$A$10:$Z$226,S$2,FALSE)=0,"",VLOOKUP($A16,'Pre-Assessment Estimator'!$A$10:$Z$226,S$2,FALSE))</f>
        <v/>
      </c>
      <c r="T16" s="581"/>
      <c r="U16" s="580" t="str">
        <f>IF(VLOOKUP($A16,'Pre-Assessment Estimator'!$A$10:$Z$226,U$2,FALSE)=0,"",VLOOKUP($A16,'Pre-Assessment Estimator'!$A$10:$Z$226,U$2,FALSE))</f>
        <v/>
      </c>
      <c r="V16" s="575">
        <f>VLOOKUP($A16,'Pre-Assessment Estimator'!$A$10:$Z$226,V$2,FALSE)</f>
        <v>0</v>
      </c>
      <c r="W16" s="574" t="str">
        <f>VLOOKUP($A16,'Pre-Assessment Estimator'!$A$10:$Z$226,W$2,FALSE)</f>
        <v>N/A</v>
      </c>
      <c r="X16" s="577" t="str">
        <f>IF(VLOOKUP($A16,'Pre-Assessment Estimator'!$A$10:$Z$226,X$2,FALSE)=0,"",VLOOKUP($A16,'Pre-Assessment Estimator'!$A$10:$Z$226,X$2,FALSE))</f>
        <v/>
      </c>
      <c r="Y16" s="577" t="str">
        <f>IF(VLOOKUP($A16,'Pre-Assessment Estimator'!$A$10:$Z$226,Y$2,FALSE)=0,"",VLOOKUP($A16,'Pre-Assessment Estimator'!$A$10:$Z$226,Y$2,FALSE))</f>
        <v/>
      </c>
      <c r="Z16" s="370" t="str">
        <f>IF(VLOOKUP($A16,'Pre-Assessment Estimator'!$A$10:$Z$226,Z$2,FALSE)=0,"",VLOOKUP($A16,'Pre-Assessment Estimator'!$A$10:$Z$226,Z$2,FALSE))</f>
        <v/>
      </c>
      <c r="AA16" s="696">
        <v>7</v>
      </c>
      <c r="AB16" s="577"/>
      <c r="AF16" s="386">
        <f t="shared" ref="AF16:AF81" si="0">IF(F16="",1,IF(F16=0,2,1))</f>
        <v>1</v>
      </c>
      <c r="AG16" s="414"/>
      <c r="AL16" s="413"/>
    </row>
    <row r="17" spans="1:38" x14ac:dyDescent="0.25">
      <c r="A17" s="823">
        <v>8</v>
      </c>
      <c r="B17" s="1234" t="s">
        <v>62</v>
      </c>
      <c r="C17" s="1234"/>
      <c r="D17" s="1256" t="str">
        <f>VLOOKUP($A17,'Pre-Assessment Estimator'!$A$10:$Z$226,D$2,FALSE)</f>
        <v>Man 02</v>
      </c>
      <c r="E17" s="1256" t="str">
        <f>VLOOKUP($A17,'Pre-Assessment Estimator'!$A$10:$Z$226,E$2,FALSE)</f>
        <v>Man 02 Life cycle cost and service life planning</v>
      </c>
      <c r="F17" s="574">
        <f>VLOOKUP($A17,'Pre-Assessment Estimator'!$A$10:$Z$226,F$2,FALSE)</f>
        <v>3</v>
      </c>
      <c r="G17" s="580" t="str">
        <f>IF(VLOOKUP($A17,'Pre-Assessment Estimator'!$A$10:$Z$226,G$2,FALSE)=0,"",VLOOKUP($A17,'Pre-Assessment Estimator'!$A$10:$Z$226,G$2,FALSE))</f>
        <v/>
      </c>
      <c r="H17" s="575" t="str">
        <f>VLOOKUP($A17,'Pre-Assessment Estimator'!$A$10:$Z$226,H$2,FALSE)</f>
        <v>0 c. 0 %</v>
      </c>
      <c r="I17" s="574" t="str">
        <f>VLOOKUP($A17,'Pre-Assessment Estimator'!$A$10:$Z$226,I$2,FALSE)</f>
        <v>N/A</v>
      </c>
      <c r="J17" s="577" t="str">
        <f>IF(VLOOKUP($A17,'Pre-Assessment Estimator'!$A$10:$Z$226,J$2,FALSE)=0,"",VLOOKUP($A17,'Pre-Assessment Estimator'!$A$10:$Z$226,J$2,FALSE))</f>
        <v/>
      </c>
      <c r="K17" s="577" t="str">
        <f>IF(VLOOKUP($A17,'Pre-Assessment Estimator'!$A$10:$Z$226,K$2,FALSE)=0,"",VLOOKUP($A17,'Pre-Assessment Estimator'!$A$10:$Z$226,K$2,FALSE))</f>
        <v/>
      </c>
      <c r="L17" s="578" t="str">
        <f>IF(VLOOKUP($A17,'Pre-Assessment Estimator'!$A$10:$Z$226,L$2,FALSE)=0,"",VLOOKUP($A17,'Pre-Assessment Estimator'!$A$10:$Z$226,L$2,FALSE))</f>
        <v/>
      </c>
      <c r="M17" s="579"/>
      <c r="N17" s="580" t="str">
        <f>IF(VLOOKUP($A17,'Pre-Assessment Estimator'!$A$10:$Z$226,N$2,FALSE)=0,"",VLOOKUP($A17,'Pre-Assessment Estimator'!$A$10:$Z$226,N$2,FALSE))</f>
        <v/>
      </c>
      <c r="O17" s="575" t="str">
        <f>VLOOKUP($A17,'Pre-Assessment Estimator'!$A$10:$Z$226,O$2,FALSE)</f>
        <v>0 c. 0 %</v>
      </c>
      <c r="P17" s="574" t="str">
        <f>VLOOKUP($A17,'Pre-Assessment Estimator'!$A$10:$Z$226,P$2,FALSE)</f>
        <v>N/A</v>
      </c>
      <c r="Q17" s="577" t="str">
        <f>IF(VLOOKUP($A17,'Pre-Assessment Estimator'!$A$10:$Z$226,Q$2,FALSE)=0,"",VLOOKUP($A17,'Pre-Assessment Estimator'!$A$10:$Z$226,Q$2,FALSE))</f>
        <v/>
      </c>
      <c r="R17" s="577" t="str">
        <f>IF(VLOOKUP($A17,'Pre-Assessment Estimator'!$A$10:$Z$226,R$2,FALSE)=0,"",VLOOKUP($A17,'Pre-Assessment Estimator'!$A$10:$Z$226,R$2,FALSE))</f>
        <v/>
      </c>
      <c r="S17" s="578" t="str">
        <f>IF(VLOOKUP($A17,'Pre-Assessment Estimator'!$A$10:$Z$226,S$2,FALSE)=0,"",VLOOKUP($A17,'Pre-Assessment Estimator'!$A$10:$Z$226,S$2,FALSE))</f>
        <v/>
      </c>
      <c r="T17" s="581"/>
      <c r="U17" s="580" t="str">
        <f>IF(VLOOKUP($A17,'Pre-Assessment Estimator'!$A$10:$Z$226,U$2,FALSE)=0,"",VLOOKUP($A17,'Pre-Assessment Estimator'!$A$10:$Z$226,U$2,FALSE))</f>
        <v/>
      </c>
      <c r="V17" s="575" t="str">
        <f>VLOOKUP($A17,'Pre-Assessment Estimator'!$A$10:$Z$226,V$2,FALSE)</f>
        <v>0 c. 0 %</v>
      </c>
      <c r="W17" s="574" t="str">
        <f>VLOOKUP($A17,'Pre-Assessment Estimator'!$A$10:$Z$226,W$2,FALSE)</f>
        <v>N/A</v>
      </c>
      <c r="X17" s="577" t="str">
        <f>IF(VLOOKUP($A17,'Pre-Assessment Estimator'!$A$10:$Z$226,X$2,FALSE)=0,"",VLOOKUP($A17,'Pre-Assessment Estimator'!$A$10:$Z$226,X$2,FALSE))</f>
        <v/>
      </c>
      <c r="Y17" s="577" t="str">
        <f>IF(VLOOKUP($A17,'Pre-Assessment Estimator'!$A$10:$Z$226,Y$2,FALSE)=0,"",VLOOKUP($A17,'Pre-Assessment Estimator'!$A$10:$Z$226,Y$2,FALSE))</f>
        <v/>
      </c>
      <c r="Z17" s="370" t="str">
        <f>IF(VLOOKUP($A17,'Pre-Assessment Estimator'!$A$10:$Z$226,Z$2,FALSE)=0,"",VLOOKUP($A17,'Pre-Assessment Estimator'!$A$10:$Z$226,Z$2,FALSE))</f>
        <v/>
      </c>
      <c r="AA17" s="696">
        <v>8</v>
      </c>
      <c r="AB17" s="577"/>
      <c r="AF17" s="386">
        <f t="shared" si="0"/>
        <v>1</v>
      </c>
      <c r="AG17" s="414"/>
      <c r="AL17" s="413"/>
    </row>
    <row r="18" spans="1:38" x14ac:dyDescent="0.25">
      <c r="A18" s="823">
        <v>9</v>
      </c>
      <c r="B18" s="1234" t="s">
        <v>62</v>
      </c>
      <c r="C18" s="1234"/>
      <c r="D18" s="1257" t="str">
        <f>VLOOKUP($A18,'Pre-Assessment Estimator'!$A$10:$Z$226,D$2,FALSE)</f>
        <v>Man 02</v>
      </c>
      <c r="E18" s="1258" t="str">
        <f>VLOOKUP($A18,'Pre-Assessment Estimator'!$A$10:$Z$226,E$2,FALSE)</f>
        <v>Elemental life cycle cost (LCC) and capital cost reporting</v>
      </c>
      <c r="F18" s="574">
        <f>VLOOKUP($A18,'Pre-Assessment Estimator'!$A$10:$Z$226,F$2,FALSE)</f>
        <v>2</v>
      </c>
      <c r="G18" s="580" t="str">
        <f>IF(VLOOKUP($A18,'Pre-Assessment Estimator'!$A$10:$Z$226,G$2,FALSE)=0,"",VLOOKUP($A18,'Pre-Assessment Estimator'!$A$10:$Z$226,G$2,FALSE))</f>
        <v/>
      </c>
      <c r="H18" s="575">
        <f>VLOOKUP($A18,'Pre-Assessment Estimator'!$A$10:$Z$226,H$2,FALSE)</f>
        <v>0</v>
      </c>
      <c r="I18" s="574" t="str">
        <f>VLOOKUP($A18,'Pre-Assessment Estimator'!$A$10:$Z$226,I$2,FALSE)</f>
        <v>N/A</v>
      </c>
      <c r="J18" s="577" t="str">
        <f>IF(VLOOKUP($A18,'Pre-Assessment Estimator'!$A$10:$Z$226,J$2,FALSE)=0,"",VLOOKUP($A18,'Pre-Assessment Estimator'!$A$10:$Z$226,J$2,FALSE))</f>
        <v/>
      </c>
      <c r="K18" s="577" t="str">
        <f>IF(VLOOKUP($A18,'Pre-Assessment Estimator'!$A$10:$Z$226,K$2,FALSE)=0,"",VLOOKUP($A18,'Pre-Assessment Estimator'!$A$10:$Z$226,K$2,FALSE))</f>
        <v/>
      </c>
      <c r="L18" s="578" t="str">
        <f>IF(VLOOKUP($A18,'Pre-Assessment Estimator'!$A$10:$Z$226,L$2,FALSE)=0,"",VLOOKUP($A18,'Pre-Assessment Estimator'!$A$10:$Z$226,L$2,FALSE))</f>
        <v/>
      </c>
      <c r="M18" s="579"/>
      <c r="N18" s="580" t="str">
        <f>IF(VLOOKUP($A18,'Pre-Assessment Estimator'!$A$10:$Z$226,N$2,FALSE)=0,"",VLOOKUP($A18,'Pre-Assessment Estimator'!$A$10:$Z$226,N$2,FALSE))</f>
        <v/>
      </c>
      <c r="O18" s="575">
        <f>VLOOKUP($A18,'Pre-Assessment Estimator'!$A$10:$Z$226,O$2,FALSE)</f>
        <v>0</v>
      </c>
      <c r="P18" s="574" t="str">
        <f>VLOOKUP($A18,'Pre-Assessment Estimator'!$A$10:$Z$226,P$2,FALSE)</f>
        <v>N/A</v>
      </c>
      <c r="Q18" s="577" t="str">
        <f>IF(VLOOKUP($A18,'Pre-Assessment Estimator'!$A$10:$Z$226,Q$2,FALSE)=0,"",VLOOKUP($A18,'Pre-Assessment Estimator'!$A$10:$Z$226,Q$2,FALSE))</f>
        <v/>
      </c>
      <c r="R18" s="577" t="str">
        <f>IF(VLOOKUP($A18,'Pre-Assessment Estimator'!$A$10:$Z$226,R$2,FALSE)=0,"",VLOOKUP($A18,'Pre-Assessment Estimator'!$A$10:$Z$226,R$2,FALSE))</f>
        <v/>
      </c>
      <c r="S18" s="578" t="str">
        <f>IF(VLOOKUP($A18,'Pre-Assessment Estimator'!$A$10:$Z$226,S$2,FALSE)=0,"",VLOOKUP($A18,'Pre-Assessment Estimator'!$A$10:$Z$226,S$2,FALSE))</f>
        <v/>
      </c>
      <c r="T18" s="581"/>
      <c r="U18" s="580" t="str">
        <f>IF(VLOOKUP($A18,'Pre-Assessment Estimator'!$A$10:$Z$226,U$2,FALSE)=0,"",VLOOKUP($A18,'Pre-Assessment Estimator'!$A$10:$Z$226,U$2,FALSE))</f>
        <v/>
      </c>
      <c r="V18" s="575">
        <f>VLOOKUP($A18,'Pre-Assessment Estimator'!$A$10:$Z$226,V$2,FALSE)</f>
        <v>0</v>
      </c>
      <c r="W18" s="574" t="str">
        <f>VLOOKUP($A18,'Pre-Assessment Estimator'!$A$10:$Z$226,W$2,FALSE)</f>
        <v>N/A</v>
      </c>
      <c r="X18" s="577" t="str">
        <f>IF(VLOOKUP($A18,'Pre-Assessment Estimator'!$A$10:$Z$226,X$2,FALSE)=0,"",VLOOKUP($A18,'Pre-Assessment Estimator'!$A$10:$Z$226,X$2,FALSE))</f>
        <v/>
      </c>
      <c r="Y18" s="577" t="str">
        <f>IF(VLOOKUP($A18,'Pre-Assessment Estimator'!$A$10:$Z$226,Y$2,FALSE)=0,"",VLOOKUP($A18,'Pre-Assessment Estimator'!$A$10:$Z$226,Y$2,FALSE))</f>
        <v/>
      </c>
      <c r="Z18" s="370" t="str">
        <f>IF(VLOOKUP($A18,'Pre-Assessment Estimator'!$A$10:$Z$226,Z$2,FALSE)=0,"",VLOOKUP($A18,'Pre-Assessment Estimator'!$A$10:$Z$226,Z$2,FALSE))</f>
        <v/>
      </c>
      <c r="AA18" s="696">
        <v>9</v>
      </c>
      <c r="AB18" s="577"/>
      <c r="AF18" s="386">
        <f t="shared" si="0"/>
        <v>1</v>
      </c>
      <c r="AG18" s="414"/>
      <c r="AL18" s="413"/>
    </row>
    <row r="19" spans="1:38" x14ac:dyDescent="0.25">
      <c r="A19" s="823">
        <v>10</v>
      </c>
      <c r="B19" s="1234" t="s">
        <v>62</v>
      </c>
      <c r="C19" s="1234"/>
      <c r="D19" s="1257" t="str">
        <f>VLOOKUP($A19,'Pre-Assessment Estimator'!$A$10:$Z$226,D$2,FALSE)</f>
        <v>Man 02</v>
      </c>
      <c r="E19" s="1258" t="str">
        <f>VLOOKUP($A19,'Pre-Assessment Estimator'!$A$10:$Z$226,E$2,FALSE)</f>
        <v>Component level life option appraisal</v>
      </c>
      <c r="F19" s="574">
        <f>VLOOKUP($A19,'Pre-Assessment Estimator'!$A$10:$Z$226,F$2,FALSE)</f>
        <v>1</v>
      </c>
      <c r="G19" s="580" t="str">
        <f>IF(VLOOKUP($A19,'Pre-Assessment Estimator'!$A$10:$Z$226,G$2,FALSE)=0,"",VLOOKUP($A19,'Pre-Assessment Estimator'!$A$10:$Z$226,G$2,FALSE))</f>
        <v/>
      </c>
      <c r="H19" s="575">
        <f>VLOOKUP($A19,'Pre-Assessment Estimator'!$A$10:$Z$226,H$2,FALSE)</f>
        <v>0</v>
      </c>
      <c r="I19" s="574" t="str">
        <f>VLOOKUP($A19,'Pre-Assessment Estimator'!$A$10:$Z$226,I$2,FALSE)</f>
        <v>N/A</v>
      </c>
      <c r="J19" s="577" t="str">
        <f>IF(VLOOKUP($A19,'Pre-Assessment Estimator'!$A$10:$Z$226,J$2,FALSE)=0,"",VLOOKUP($A19,'Pre-Assessment Estimator'!$A$10:$Z$226,J$2,FALSE))</f>
        <v/>
      </c>
      <c r="K19" s="577" t="str">
        <f>IF(VLOOKUP($A19,'Pre-Assessment Estimator'!$A$10:$Z$226,K$2,FALSE)=0,"",VLOOKUP($A19,'Pre-Assessment Estimator'!$A$10:$Z$226,K$2,FALSE))</f>
        <v/>
      </c>
      <c r="L19" s="578" t="str">
        <f>IF(VLOOKUP($A19,'Pre-Assessment Estimator'!$A$10:$Z$226,L$2,FALSE)=0,"",VLOOKUP($A19,'Pre-Assessment Estimator'!$A$10:$Z$226,L$2,FALSE))</f>
        <v/>
      </c>
      <c r="M19" s="579"/>
      <c r="N19" s="580" t="str">
        <f>IF(VLOOKUP($A19,'Pre-Assessment Estimator'!$A$10:$Z$226,N$2,FALSE)=0,"",VLOOKUP($A19,'Pre-Assessment Estimator'!$A$10:$Z$226,N$2,FALSE))</f>
        <v/>
      </c>
      <c r="O19" s="575">
        <f>VLOOKUP($A19,'Pre-Assessment Estimator'!$A$10:$Z$226,O$2,FALSE)</f>
        <v>0</v>
      </c>
      <c r="P19" s="574" t="str">
        <f>VLOOKUP($A19,'Pre-Assessment Estimator'!$A$10:$Z$226,P$2,FALSE)</f>
        <v>N/A</v>
      </c>
      <c r="Q19" s="577" t="str">
        <f>IF(VLOOKUP($A19,'Pre-Assessment Estimator'!$A$10:$Z$226,Q$2,FALSE)=0,"",VLOOKUP($A19,'Pre-Assessment Estimator'!$A$10:$Z$226,Q$2,FALSE))</f>
        <v/>
      </c>
      <c r="R19" s="577" t="str">
        <f>IF(VLOOKUP($A19,'Pre-Assessment Estimator'!$A$10:$Z$226,R$2,FALSE)=0,"",VLOOKUP($A19,'Pre-Assessment Estimator'!$A$10:$Z$226,R$2,FALSE))</f>
        <v/>
      </c>
      <c r="S19" s="578" t="str">
        <f>IF(VLOOKUP($A19,'Pre-Assessment Estimator'!$A$10:$Z$226,S$2,FALSE)=0,"",VLOOKUP($A19,'Pre-Assessment Estimator'!$A$10:$Z$226,S$2,FALSE))</f>
        <v/>
      </c>
      <c r="T19" s="581"/>
      <c r="U19" s="580" t="str">
        <f>IF(VLOOKUP($A19,'Pre-Assessment Estimator'!$A$10:$Z$226,U$2,FALSE)=0,"",VLOOKUP($A19,'Pre-Assessment Estimator'!$A$10:$Z$226,U$2,FALSE))</f>
        <v/>
      </c>
      <c r="V19" s="575">
        <f>VLOOKUP($A19,'Pre-Assessment Estimator'!$A$10:$Z$226,V$2,FALSE)</f>
        <v>0</v>
      </c>
      <c r="W19" s="574" t="str">
        <f>VLOOKUP($A19,'Pre-Assessment Estimator'!$A$10:$Z$226,W$2,FALSE)</f>
        <v>N/A</v>
      </c>
      <c r="X19" s="577" t="str">
        <f>IF(VLOOKUP($A19,'Pre-Assessment Estimator'!$A$10:$Z$226,X$2,FALSE)=0,"",VLOOKUP($A19,'Pre-Assessment Estimator'!$A$10:$Z$226,X$2,FALSE))</f>
        <v/>
      </c>
      <c r="Y19" s="577" t="str">
        <f>IF(VLOOKUP($A19,'Pre-Assessment Estimator'!$A$10:$Z$226,Y$2,FALSE)=0,"",VLOOKUP($A19,'Pre-Assessment Estimator'!$A$10:$Z$226,Y$2,FALSE))</f>
        <v/>
      </c>
      <c r="Z19" s="370" t="str">
        <f>IF(VLOOKUP($A19,'Pre-Assessment Estimator'!$A$10:$Z$226,Z$2,FALSE)=0,"",VLOOKUP($A19,'Pre-Assessment Estimator'!$A$10:$Z$226,Z$2,FALSE))</f>
        <v/>
      </c>
      <c r="AA19" s="696">
        <v>10</v>
      </c>
      <c r="AB19" s="577"/>
      <c r="AF19" s="386">
        <f t="shared" si="0"/>
        <v>1</v>
      </c>
      <c r="AG19" s="414"/>
      <c r="AL19" s="413"/>
    </row>
    <row r="20" spans="1:38" x14ac:dyDescent="0.25">
      <c r="A20" s="823">
        <v>11</v>
      </c>
      <c r="B20" s="1234" t="s">
        <v>62</v>
      </c>
      <c r="C20" s="1234"/>
      <c r="D20" s="1256" t="str">
        <f>VLOOKUP($A20,'Pre-Assessment Estimator'!$A$10:$Z$226,D$2,FALSE)</f>
        <v>Man 03</v>
      </c>
      <c r="E20" s="1256" t="str">
        <f>VLOOKUP($A20,'Pre-Assessment Estimator'!$A$10:$Z$226,E$2,FALSE)</f>
        <v>Man 03 Responsible construction practices</v>
      </c>
      <c r="F20" s="574">
        <f>VLOOKUP($A20,'Pre-Assessment Estimator'!$A$10:$Z$226,F$2,FALSE)</f>
        <v>7</v>
      </c>
      <c r="G20" s="580" t="str">
        <f>IF(VLOOKUP($A20,'Pre-Assessment Estimator'!$A$10:$Z$226,G$2,FALSE)=0,"",VLOOKUP($A20,'Pre-Assessment Estimator'!$A$10:$Z$226,G$2,FALSE))</f>
        <v/>
      </c>
      <c r="H20" s="575" t="str">
        <f>VLOOKUP($A20,'Pre-Assessment Estimator'!$A$10:$Z$226,H$2,FALSE)</f>
        <v>0 c. 0 %</v>
      </c>
      <c r="I20" s="574" t="str">
        <f>VLOOKUP($A20,'Pre-Assessment Estimator'!$A$10:$Z$226,I$2,FALSE)</f>
        <v>N/A</v>
      </c>
      <c r="J20" s="577" t="str">
        <f>IF(VLOOKUP($A20,'Pre-Assessment Estimator'!$A$10:$Z$226,J$2,FALSE)=0,"",VLOOKUP($A20,'Pre-Assessment Estimator'!$A$10:$Z$226,J$2,FALSE))</f>
        <v/>
      </c>
      <c r="K20" s="577" t="str">
        <f>IF(VLOOKUP($A20,'Pre-Assessment Estimator'!$A$10:$Z$226,K$2,FALSE)=0,"",VLOOKUP($A20,'Pre-Assessment Estimator'!$A$10:$Z$226,K$2,FALSE))</f>
        <v/>
      </c>
      <c r="L20" s="578" t="str">
        <f>IF(VLOOKUP($A20,'Pre-Assessment Estimator'!$A$10:$Z$226,L$2,FALSE)=0,"",VLOOKUP($A20,'Pre-Assessment Estimator'!$A$10:$Z$226,L$2,FALSE))</f>
        <v/>
      </c>
      <c r="M20" s="579"/>
      <c r="N20" s="580" t="str">
        <f>IF(VLOOKUP($A20,'Pre-Assessment Estimator'!$A$10:$Z$226,N$2,FALSE)=0,"",VLOOKUP($A20,'Pre-Assessment Estimator'!$A$10:$Z$226,N$2,FALSE))</f>
        <v/>
      </c>
      <c r="O20" s="575" t="str">
        <f>VLOOKUP($A20,'Pre-Assessment Estimator'!$A$10:$Z$226,O$2,FALSE)</f>
        <v>0 c. 0 %</v>
      </c>
      <c r="P20" s="574" t="str">
        <f>VLOOKUP($A20,'Pre-Assessment Estimator'!$A$10:$Z$226,P$2,FALSE)</f>
        <v>N/A</v>
      </c>
      <c r="Q20" s="577" t="str">
        <f>IF(VLOOKUP($A20,'Pre-Assessment Estimator'!$A$10:$Z$226,Q$2,FALSE)=0,"",VLOOKUP($A20,'Pre-Assessment Estimator'!$A$10:$Z$226,Q$2,FALSE))</f>
        <v/>
      </c>
      <c r="R20" s="577" t="str">
        <f>IF(VLOOKUP($A20,'Pre-Assessment Estimator'!$A$10:$Z$226,R$2,FALSE)=0,"",VLOOKUP($A20,'Pre-Assessment Estimator'!$A$10:$Z$226,R$2,FALSE))</f>
        <v/>
      </c>
      <c r="S20" s="578" t="str">
        <f>IF(VLOOKUP($A20,'Pre-Assessment Estimator'!$A$10:$Z$226,S$2,FALSE)=0,"",VLOOKUP($A20,'Pre-Assessment Estimator'!$A$10:$Z$226,S$2,FALSE))</f>
        <v/>
      </c>
      <c r="T20" s="581"/>
      <c r="U20" s="580" t="str">
        <f>IF(VLOOKUP($A20,'Pre-Assessment Estimator'!$A$10:$Z$226,U$2,FALSE)=0,"",VLOOKUP($A20,'Pre-Assessment Estimator'!$A$10:$Z$226,U$2,FALSE))</f>
        <v/>
      </c>
      <c r="V20" s="575" t="str">
        <f>VLOOKUP($A20,'Pre-Assessment Estimator'!$A$10:$Z$226,V$2,FALSE)</f>
        <v>0 c. 0 %</v>
      </c>
      <c r="W20" s="574" t="str">
        <f>VLOOKUP($A20,'Pre-Assessment Estimator'!$A$10:$Z$226,W$2,FALSE)</f>
        <v>N/A</v>
      </c>
      <c r="X20" s="577" t="str">
        <f>IF(VLOOKUP($A20,'Pre-Assessment Estimator'!$A$10:$Z$226,X$2,FALSE)=0,"",VLOOKUP($A20,'Pre-Assessment Estimator'!$A$10:$Z$226,X$2,FALSE))</f>
        <v/>
      </c>
      <c r="Y20" s="577" t="str">
        <f>IF(VLOOKUP($A20,'Pre-Assessment Estimator'!$A$10:$Z$226,Y$2,FALSE)=0,"",VLOOKUP($A20,'Pre-Assessment Estimator'!$A$10:$Z$226,Y$2,FALSE))</f>
        <v/>
      </c>
      <c r="Z20" s="370" t="str">
        <f>IF(VLOOKUP($A20,'Pre-Assessment Estimator'!$A$10:$Z$226,Z$2,FALSE)=0,"",VLOOKUP($A20,'Pre-Assessment Estimator'!$A$10:$Z$226,Z$2,FALSE))</f>
        <v/>
      </c>
      <c r="AA20" s="696">
        <v>11</v>
      </c>
      <c r="AB20" s="577"/>
      <c r="AF20" s="386">
        <f t="shared" si="0"/>
        <v>1</v>
      </c>
      <c r="AG20" s="414"/>
      <c r="AL20" s="413"/>
    </row>
    <row r="21" spans="1:38" x14ac:dyDescent="0.25">
      <c r="A21" s="823">
        <v>12</v>
      </c>
      <c r="B21" s="1234" t="s">
        <v>62</v>
      </c>
      <c r="C21" s="1234"/>
      <c r="D21" s="1257" t="str">
        <f>VLOOKUP($A21,'Pre-Assessment Estimator'!$A$10:$Z$226,D$2,FALSE)</f>
        <v>Man 03</v>
      </c>
      <c r="E21" s="1258" t="str">
        <f>VLOOKUP($A21,'Pre-Assessment Estimator'!$A$10:$Z$226,E$2,FALSE)</f>
        <v>Environmental managment</v>
      </c>
      <c r="F21" s="574">
        <f>VLOOKUP($A21,'Pre-Assessment Estimator'!$A$10:$Z$226,F$2,FALSE)</f>
        <v>1</v>
      </c>
      <c r="G21" s="580" t="str">
        <f>IF(VLOOKUP($A21,'Pre-Assessment Estimator'!$A$10:$Z$226,G$2,FALSE)=0,"",VLOOKUP($A21,'Pre-Assessment Estimator'!$A$10:$Z$226,G$2,FALSE))</f>
        <v/>
      </c>
      <c r="H21" s="575">
        <f>VLOOKUP($A21,'Pre-Assessment Estimator'!$A$10:$Z$226,H$2,FALSE)</f>
        <v>0</v>
      </c>
      <c r="I21" s="574" t="str">
        <f>VLOOKUP($A21,'Pre-Assessment Estimator'!$A$10:$Z$226,I$2,FALSE)</f>
        <v>N/A</v>
      </c>
      <c r="J21" s="577" t="str">
        <f>IF(VLOOKUP($A21,'Pre-Assessment Estimator'!$A$10:$Z$226,J$2,FALSE)=0,"",VLOOKUP($A21,'Pre-Assessment Estimator'!$A$10:$Z$226,J$2,FALSE))</f>
        <v/>
      </c>
      <c r="K21" s="577" t="str">
        <f>IF(VLOOKUP($A21,'Pre-Assessment Estimator'!$A$10:$Z$226,K$2,FALSE)=0,"",VLOOKUP($A21,'Pre-Assessment Estimator'!$A$10:$Z$226,K$2,FALSE))</f>
        <v/>
      </c>
      <c r="L21" s="578" t="str">
        <f>IF(VLOOKUP($A21,'Pre-Assessment Estimator'!$A$10:$Z$226,L$2,FALSE)=0,"",VLOOKUP($A21,'Pre-Assessment Estimator'!$A$10:$Z$226,L$2,FALSE))</f>
        <v/>
      </c>
      <c r="M21" s="579"/>
      <c r="N21" s="580" t="str">
        <f>IF(VLOOKUP($A21,'Pre-Assessment Estimator'!$A$10:$Z$226,N$2,FALSE)=0,"",VLOOKUP($A21,'Pre-Assessment Estimator'!$A$10:$Z$226,N$2,FALSE))</f>
        <v/>
      </c>
      <c r="O21" s="575">
        <f>VLOOKUP($A21,'Pre-Assessment Estimator'!$A$10:$Z$226,O$2,FALSE)</f>
        <v>0</v>
      </c>
      <c r="P21" s="574" t="str">
        <f>VLOOKUP($A21,'Pre-Assessment Estimator'!$A$10:$Z$226,P$2,FALSE)</f>
        <v>N/A</v>
      </c>
      <c r="Q21" s="577" t="str">
        <f>IF(VLOOKUP($A21,'Pre-Assessment Estimator'!$A$10:$Z$226,Q$2,FALSE)=0,"",VLOOKUP($A21,'Pre-Assessment Estimator'!$A$10:$Z$226,Q$2,FALSE))</f>
        <v/>
      </c>
      <c r="R21" s="577" t="str">
        <f>IF(VLOOKUP($A21,'Pre-Assessment Estimator'!$A$10:$Z$226,R$2,FALSE)=0,"",VLOOKUP($A21,'Pre-Assessment Estimator'!$A$10:$Z$226,R$2,FALSE))</f>
        <v/>
      </c>
      <c r="S21" s="578" t="str">
        <f>IF(VLOOKUP($A21,'Pre-Assessment Estimator'!$A$10:$Z$226,S$2,FALSE)=0,"",VLOOKUP($A21,'Pre-Assessment Estimator'!$A$10:$Z$226,S$2,FALSE))</f>
        <v/>
      </c>
      <c r="T21" s="581"/>
      <c r="U21" s="580" t="str">
        <f>IF(VLOOKUP($A21,'Pre-Assessment Estimator'!$A$10:$Z$226,U$2,FALSE)=0,"",VLOOKUP($A21,'Pre-Assessment Estimator'!$A$10:$Z$226,U$2,FALSE))</f>
        <v/>
      </c>
      <c r="V21" s="575">
        <f>VLOOKUP($A21,'Pre-Assessment Estimator'!$A$10:$Z$226,V$2,FALSE)</f>
        <v>0</v>
      </c>
      <c r="W21" s="574" t="str">
        <f>VLOOKUP($A21,'Pre-Assessment Estimator'!$A$10:$Z$226,W$2,FALSE)</f>
        <v>N/A</v>
      </c>
      <c r="X21" s="577" t="str">
        <f>IF(VLOOKUP($A21,'Pre-Assessment Estimator'!$A$10:$Z$226,X$2,FALSE)=0,"",VLOOKUP($A21,'Pre-Assessment Estimator'!$A$10:$Z$226,X$2,FALSE))</f>
        <v/>
      </c>
      <c r="Y21" s="577" t="str">
        <f>IF(VLOOKUP($A21,'Pre-Assessment Estimator'!$A$10:$Z$226,Y$2,FALSE)=0,"",VLOOKUP($A21,'Pre-Assessment Estimator'!$A$10:$Z$226,Y$2,FALSE))</f>
        <v/>
      </c>
      <c r="Z21" s="370" t="str">
        <f>IF(VLOOKUP($A21,'Pre-Assessment Estimator'!$A$10:$Z$226,Z$2,FALSE)=0,"",VLOOKUP($A21,'Pre-Assessment Estimator'!$A$10:$Z$226,Z$2,FALSE))</f>
        <v/>
      </c>
      <c r="AA21" s="696">
        <v>12</v>
      </c>
      <c r="AB21" s="577"/>
      <c r="AF21" s="386">
        <f t="shared" si="0"/>
        <v>1</v>
      </c>
      <c r="AG21" s="414"/>
      <c r="AL21" s="413"/>
    </row>
    <row r="22" spans="1:38" x14ac:dyDescent="0.25">
      <c r="A22" s="823">
        <v>13</v>
      </c>
      <c r="B22" s="1234" t="s">
        <v>62</v>
      </c>
      <c r="C22" s="1234"/>
      <c r="D22" s="1257" t="str">
        <f>VLOOKUP($A22,'Pre-Assessment Estimator'!$A$10:$Z$226,D$2,FALSE)</f>
        <v>Man 03</v>
      </c>
      <c r="E22" s="1258" t="str">
        <f>VLOOKUP($A22,'Pre-Assessment Estimator'!$A$10:$Z$226,E$2,FALSE)</f>
        <v>BREEAM-NOR AP and BREEAM performance targets (stage 5 and 6)</v>
      </c>
      <c r="F22" s="574">
        <f>VLOOKUP($A22,'Pre-Assessment Estimator'!$A$10:$Z$226,F$2,FALSE)</f>
        <v>1</v>
      </c>
      <c r="G22" s="580" t="str">
        <f>IF(VLOOKUP($A22,'Pre-Assessment Estimator'!$A$10:$Z$226,G$2,FALSE)=0,"",VLOOKUP($A22,'Pre-Assessment Estimator'!$A$10:$Z$226,G$2,FALSE))</f>
        <v/>
      </c>
      <c r="H22" s="575">
        <f>VLOOKUP($A22,'Pre-Assessment Estimator'!$A$10:$Z$226,H$2,FALSE)</f>
        <v>0</v>
      </c>
      <c r="I22" s="574" t="str">
        <f>VLOOKUP($A22,'Pre-Assessment Estimator'!$A$10:$Z$226,I$2,FALSE)</f>
        <v>N/A</v>
      </c>
      <c r="J22" s="577" t="str">
        <f>IF(VLOOKUP($A22,'Pre-Assessment Estimator'!$A$10:$Z$226,J$2,FALSE)=0,"",VLOOKUP($A22,'Pre-Assessment Estimator'!$A$10:$Z$226,J$2,FALSE))</f>
        <v/>
      </c>
      <c r="K22" s="577" t="str">
        <f>IF(VLOOKUP($A22,'Pre-Assessment Estimator'!$A$10:$Z$226,K$2,FALSE)=0,"",VLOOKUP($A22,'Pre-Assessment Estimator'!$A$10:$Z$226,K$2,FALSE))</f>
        <v/>
      </c>
      <c r="L22" s="578" t="str">
        <f>IF(VLOOKUP($A22,'Pre-Assessment Estimator'!$A$10:$Z$226,L$2,FALSE)=0,"",VLOOKUP($A22,'Pre-Assessment Estimator'!$A$10:$Z$226,L$2,FALSE))</f>
        <v/>
      </c>
      <c r="M22" s="579"/>
      <c r="N22" s="580" t="str">
        <f>IF(VLOOKUP($A22,'Pre-Assessment Estimator'!$A$10:$Z$226,N$2,FALSE)=0,"",VLOOKUP($A22,'Pre-Assessment Estimator'!$A$10:$Z$226,N$2,FALSE))</f>
        <v/>
      </c>
      <c r="O22" s="575">
        <f>VLOOKUP($A22,'Pre-Assessment Estimator'!$A$10:$Z$226,O$2,FALSE)</f>
        <v>0</v>
      </c>
      <c r="P22" s="574" t="str">
        <f>VLOOKUP($A22,'Pre-Assessment Estimator'!$A$10:$Z$226,P$2,FALSE)</f>
        <v>N/A</v>
      </c>
      <c r="Q22" s="577" t="str">
        <f>IF(VLOOKUP($A22,'Pre-Assessment Estimator'!$A$10:$Z$226,Q$2,FALSE)=0,"",VLOOKUP($A22,'Pre-Assessment Estimator'!$A$10:$Z$226,Q$2,FALSE))</f>
        <v/>
      </c>
      <c r="R22" s="577" t="str">
        <f>IF(VLOOKUP($A22,'Pre-Assessment Estimator'!$A$10:$Z$226,R$2,FALSE)=0,"",VLOOKUP($A22,'Pre-Assessment Estimator'!$A$10:$Z$226,R$2,FALSE))</f>
        <v/>
      </c>
      <c r="S22" s="578" t="str">
        <f>IF(VLOOKUP($A22,'Pre-Assessment Estimator'!$A$10:$Z$226,S$2,FALSE)=0,"",VLOOKUP($A22,'Pre-Assessment Estimator'!$A$10:$Z$226,S$2,FALSE))</f>
        <v/>
      </c>
      <c r="T22" s="581"/>
      <c r="U22" s="580" t="str">
        <f>IF(VLOOKUP($A22,'Pre-Assessment Estimator'!$A$10:$Z$226,U$2,FALSE)=0,"",VLOOKUP($A22,'Pre-Assessment Estimator'!$A$10:$Z$226,U$2,FALSE))</f>
        <v/>
      </c>
      <c r="V22" s="575">
        <f>VLOOKUP($A22,'Pre-Assessment Estimator'!$A$10:$Z$226,V$2,FALSE)</f>
        <v>0</v>
      </c>
      <c r="W22" s="574" t="str">
        <f>VLOOKUP($A22,'Pre-Assessment Estimator'!$A$10:$Z$226,W$2,FALSE)</f>
        <v>N/A</v>
      </c>
      <c r="X22" s="577" t="str">
        <f>IF(VLOOKUP($A22,'Pre-Assessment Estimator'!$A$10:$Z$226,X$2,FALSE)=0,"",VLOOKUP($A22,'Pre-Assessment Estimator'!$A$10:$Z$226,X$2,FALSE))</f>
        <v/>
      </c>
      <c r="Y22" s="577" t="str">
        <f>IF(VLOOKUP($A22,'Pre-Assessment Estimator'!$A$10:$Z$226,Y$2,FALSE)=0,"",VLOOKUP($A22,'Pre-Assessment Estimator'!$A$10:$Z$226,Y$2,FALSE))</f>
        <v/>
      </c>
      <c r="Z22" s="370" t="str">
        <f>IF(VLOOKUP($A22,'Pre-Assessment Estimator'!$A$10:$Z$226,Z$2,FALSE)=0,"",VLOOKUP($A22,'Pre-Assessment Estimator'!$A$10:$Z$226,Z$2,FALSE))</f>
        <v/>
      </c>
      <c r="AA22" s="696">
        <v>13</v>
      </c>
      <c r="AB22" s="577"/>
      <c r="AF22" s="386">
        <f t="shared" si="0"/>
        <v>1</v>
      </c>
      <c r="AG22" s="414"/>
      <c r="AL22" s="413"/>
    </row>
    <row r="23" spans="1:38" ht="30" x14ac:dyDescent="0.25">
      <c r="A23" s="823">
        <v>14</v>
      </c>
      <c r="B23" s="1234" t="s">
        <v>62</v>
      </c>
      <c r="C23" s="1234"/>
      <c r="D23" s="1257" t="str">
        <f>VLOOKUP($A23,'Pre-Assessment Estimator'!$A$10:$Z$226,D$2,FALSE)</f>
        <v>Man 03</v>
      </c>
      <c r="E23" s="1258" t="str">
        <f>VLOOKUP($A23,'Pre-Assessment Estimator'!$A$10:$Z$226,E$2,FALSE)</f>
        <v>Considerate contruction: clean and tidy building process and checklist A1 (EU taxonomy requirement: criterion 5-6)</v>
      </c>
      <c r="F23" s="574">
        <f>VLOOKUP($A23,'Pre-Assessment Estimator'!$A$10:$Z$226,F$2,FALSE)</f>
        <v>1</v>
      </c>
      <c r="G23" s="580" t="str">
        <f>IF(VLOOKUP($A23,'Pre-Assessment Estimator'!$A$10:$Z$226,G$2,FALSE)=0,"",VLOOKUP($A23,'Pre-Assessment Estimator'!$A$10:$Z$226,G$2,FALSE))</f>
        <v/>
      </c>
      <c r="H23" s="575">
        <f>VLOOKUP($A23,'Pre-Assessment Estimator'!$A$10:$Z$226,H$2,FALSE)</f>
        <v>0</v>
      </c>
      <c r="I23" s="574" t="str">
        <f>VLOOKUP($A23,'Pre-Assessment Estimator'!$A$10:$Z$226,I$2,FALSE)</f>
        <v>Unclassified</v>
      </c>
      <c r="J23" s="577" t="str">
        <f>IF(VLOOKUP($A23,'Pre-Assessment Estimator'!$A$10:$Z$226,J$2,FALSE)=0,"",VLOOKUP($A23,'Pre-Assessment Estimator'!$A$10:$Z$226,J$2,FALSE))</f>
        <v/>
      </c>
      <c r="K23" s="577" t="str">
        <f>IF(VLOOKUP($A23,'Pre-Assessment Estimator'!$A$10:$Z$226,K$2,FALSE)=0,"",VLOOKUP($A23,'Pre-Assessment Estimator'!$A$10:$Z$226,K$2,FALSE))</f>
        <v/>
      </c>
      <c r="L23" s="578" t="str">
        <f>IF(VLOOKUP($A23,'Pre-Assessment Estimator'!$A$10:$Z$226,L$2,FALSE)=0,"",VLOOKUP($A23,'Pre-Assessment Estimator'!$A$10:$Z$226,L$2,FALSE))</f>
        <v/>
      </c>
      <c r="M23" s="579"/>
      <c r="N23" s="580" t="str">
        <f>IF(VLOOKUP($A23,'Pre-Assessment Estimator'!$A$10:$Z$226,N$2,FALSE)=0,"",VLOOKUP($A23,'Pre-Assessment Estimator'!$A$10:$Z$226,N$2,FALSE))</f>
        <v/>
      </c>
      <c r="O23" s="575">
        <f>VLOOKUP($A23,'Pre-Assessment Estimator'!$A$10:$Z$226,O$2,FALSE)</f>
        <v>0</v>
      </c>
      <c r="P23" s="574" t="str">
        <f>VLOOKUP($A23,'Pre-Assessment Estimator'!$A$10:$Z$226,P$2,FALSE)</f>
        <v>Unclassified</v>
      </c>
      <c r="Q23" s="577" t="str">
        <f>IF(VLOOKUP($A23,'Pre-Assessment Estimator'!$A$10:$Z$226,Q$2,FALSE)=0,"",VLOOKUP($A23,'Pre-Assessment Estimator'!$A$10:$Z$226,Q$2,FALSE))</f>
        <v/>
      </c>
      <c r="R23" s="577" t="str">
        <f>IF(VLOOKUP($A23,'Pre-Assessment Estimator'!$A$10:$Z$226,R$2,FALSE)=0,"",VLOOKUP($A23,'Pre-Assessment Estimator'!$A$10:$Z$226,R$2,FALSE))</f>
        <v/>
      </c>
      <c r="S23" s="578" t="str">
        <f>IF(VLOOKUP($A23,'Pre-Assessment Estimator'!$A$10:$Z$226,S$2,FALSE)=0,"",VLOOKUP($A23,'Pre-Assessment Estimator'!$A$10:$Z$226,S$2,FALSE))</f>
        <v/>
      </c>
      <c r="T23" s="581"/>
      <c r="U23" s="580" t="str">
        <f>IF(VLOOKUP($A23,'Pre-Assessment Estimator'!$A$10:$Z$226,U$2,FALSE)=0,"",VLOOKUP($A23,'Pre-Assessment Estimator'!$A$10:$Z$226,U$2,FALSE))</f>
        <v/>
      </c>
      <c r="V23" s="575">
        <f>VLOOKUP($A23,'Pre-Assessment Estimator'!$A$10:$Z$226,V$2,FALSE)</f>
        <v>0</v>
      </c>
      <c r="W23" s="574" t="str">
        <f>VLOOKUP($A23,'Pre-Assessment Estimator'!$A$10:$Z$226,W$2,FALSE)</f>
        <v>Unclassified</v>
      </c>
      <c r="X23" s="577" t="str">
        <f>IF(VLOOKUP($A23,'Pre-Assessment Estimator'!$A$10:$Z$226,X$2,FALSE)=0,"",VLOOKUP($A23,'Pre-Assessment Estimator'!$A$10:$Z$226,X$2,FALSE))</f>
        <v/>
      </c>
      <c r="Y23" s="577" t="str">
        <f>IF(VLOOKUP($A23,'Pre-Assessment Estimator'!$A$10:$Z$226,Y$2,FALSE)=0,"",VLOOKUP($A23,'Pre-Assessment Estimator'!$A$10:$Z$226,Y$2,FALSE))</f>
        <v/>
      </c>
      <c r="Z23" s="370" t="str">
        <f>IF(VLOOKUP($A23,'Pre-Assessment Estimator'!$A$10:$Z$226,Z$2,FALSE)=0,"",VLOOKUP($A23,'Pre-Assessment Estimator'!$A$10:$Z$226,Z$2,FALSE))</f>
        <v/>
      </c>
      <c r="AA23" s="696">
        <v>14</v>
      </c>
      <c r="AB23" s="577"/>
      <c r="AF23" s="386">
        <f t="shared" si="0"/>
        <v>1</v>
      </c>
      <c r="AG23" s="414"/>
      <c r="AL23" s="413"/>
    </row>
    <row r="24" spans="1:38" ht="30" x14ac:dyDescent="0.25">
      <c r="A24" s="823">
        <v>15</v>
      </c>
      <c r="B24" s="1234" t="s">
        <v>62</v>
      </c>
      <c r="C24" s="1234"/>
      <c r="D24" s="1257" t="str">
        <f>VLOOKUP($A24,'Pre-Assessment Estimator'!$A$10:$Z$226,D$2,FALSE)</f>
        <v>Man 03</v>
      </c>
      <c r="E24" s="1258" t="str">
        <f>VLOOKUP($A24,'Pre-Assessment Estimator'!$A$10:$Z$226,E$2,FALSE)</f>
        <v>Considerate contruction: INSTA 800 and checklist A1 (EU taxonomy requirement: criterion 7-9)</v>
      </c>
      <c r="F24" s="574">
        <f>VLOOKUP($A24,'Pre-Assessment Estimator'!$A$10:$Z$226,F$2,FALSE)</f>
        <v>1</v>
      </c>
      <c r="G24" s="580" t="str">
        <f>IF(VLOOKUP($A24,'Pre-Assessment Estimator'!$A$10:$Z$226,G$2,FALSE)=0,"",VLOOKUP($A24,'Pre-Assessment Estimator'!$A$10:$Z$226,G$2,FALSE))</f>
        <v/>
      </c>
      <c r="H24" s="575">
        <f>VLOOKUP($A24,'Pre-Assessment Estimator'!$A$10:$Z$226,H$2,FALSE)</f>
        <v>0</v>
      </c>
      <c r="I24" s="574" t="str">
        <f>VLOOKUP($A24,'Pre-Assessment Estimator'!$A$10:$Z$226,I$2,FALSE)</f>
        <v>Good</v>
      </c>
      <c r="J24" s="577" t="str">
        <f>IF(VLOOKUP($A24,'Pre-Assessment Estimator'!$A$10:$Z$226,J$2,FALSE)=0,"",VLOOKUP($A24,'Pre-Assessment Estimator'!$A$10:$Z$226,J$2,FALSE))</f>
        <v/>
      </c>
      <c r="K24" s="577" t="str">
        <f>IF(VLOOKUP($A24,'Pre-Assessment Estimator'!$A$10:$Z$226,K$2,FALSE)=0,"",VLOOKUP($A24,'Pre-Assessment Estimator'!$A$10:$Z$226,K$2,FALSE))</f>
        <v/>
      </c>
      <c r="L24" s="578" t="str">
        <f>IF(VLOOKUP($A24,'Pre-Assessment Estimator'!$A$10:$Z$226,L$2,FALSE)=0,"",VLOOKUP($A24,'Pre-Assessment Estimator'!$A$10:$Z$226,L$2,FALSE))</f>
        <v/>
      </c>
      <c r="M24" s="579"/>
      <c r="N24" s="580" t="str">
        <f>IF(VLOOKUP($A24,'Pre-Assessment Estimator'!$A$10:$Z$226,N$2,FALSE)=0,"",VLOOKUP($A24,'Pre-Assessment Estimator'!$A$10:$Z$226,N$2,FALSE))</f>
        <v/>
      </c>
      <c r="O24" s="575">
        <f>VLOOKUP($A24,'Pre-Assessment Estimator'!$A$10:$Z$226,O$2,FALSE)</f>
        <v>0</v>
      </c>
      <c r="P24" s="574" t="str">
        <f>VLOOKUP($A24,'Pre-Assessment Estimator'!$A$10:$Z$226,P$2,FALSE)</f>
        <v>Good</v>
      </c>
      <c r="Q24" s="577" t="str">
        <f>IF(VLOOKUP($A24,'Pre-Assessment Estimator'!$A$10:$Z$226,Q$2,FALSE)=0,"",VLOOKUP($A24,'Pre-Assessment Estimator'!$A$10:$Z$226,Q$2,FALSE))</f>
        <v/>
      </c>
      <c r="R24" s="577" t="str">
        <f>IF(VLOOKUP($A24,'Pre-Assessment Estimator'!$A$10:$Z$226,R$2,FALSE)=0,"",VLOOKUP($A24,'Pre-Assessment Estimator'!$A$10:$Z$226,R$2,FALSE))</f>
        <v/>
      </c>
      <c r="S24" s="578" t="str">
        <f>IF(VLOOKUP($A24,'Pre-Assessment Estimator'!$A$10:$Z$226,S$2,FALSE)=0,"",VLOOKUP($A24,'Pre-Assessment Estimator'!$A$10:$Z$226,S$2,FALSE))</f>
        <v/>
      </c>
      <c r="T24" s="581"/>
      <c r="U24" s="580" t="str">
        <f>IF(VLOOKUP($A24,'Pre-Assessment Estimator'!$A$10:$Z$226,U$2,FALSE)=0,"",VLOOKUP($A24,'Pre-Assessment Estimator'!$A$10:$Z$226,U$2,FALSE))</f>
        <v/>
      </c>
      <c r="V24" s="575">
        <f>VLOOKUP($A24,'Pre-Assessment Estimator'!$A$10:$Z$226,V$2,FALSE)</f>
        <v>0</v>
      </c>
      <c r="W24" s="574" t="str">
        <f>VLOOKUP($A24,'Pre-Assessment Estimator'!$A$10:$Z$226,W$2,FALSE)</f>
        <v>Good</v>
      </c>
      <c r="X24" s="577" t="str">
        <f>IF(VLOOKUP($A24,'Pre-Assessment Estimator'!$A$10:$Z$226,X$2,FALSE)=0,"",VLOOKUP($A24,'Pre-Assessment Estimator'!$A$10:$Z$226,X$2,FALSE))</f>
        <v/>
      </c>
      <c r="Y24" s="577" t="str">
        <f>IF(VLOOKUP($A24,'Pre-Assessment Estimator'!$A$10:$Z$226,Y$2,FALSE)=0,"",VLOOKUP($A24,'Pre-Assessment Estimator'!$A$10:$Z$226,Y$2,FALSE))</f>
        <v/>
      </c>
      <c r="Z24" s="370" t="str">
        <f>IF(VLOOKUP($A24,'Pre-Assessment Estimator'!$A$10:$Z$226,Z$2,FALSE)=0,"",VLOOKUP($A24,'Pre-Assessment Estimator'!$A$10:$Z$226,Z$2,FALSE))</f>
        <v/>
      </c>
      <c r="AA24" s="696">
        <v>15</v>
      </c>
      <c r="AB24" s="577"/>
      <c r="AF24" s="386">
        <f t="shared" si="0"/>
        <v>1</v>
      </c>
      <c r="AG24" s="414"/>
      <c r="AL24" s="413"/>
    </row>
    <row r="25" spans="1:38" x14ac:dyDescent="0.25">
      <c r="A25" s="823">
        <v>16</v>
      </c>
      <c r="B25" s="1234" t="s">
        <v>62</v>
      </c>
      <c r="C25" s="1234"/>
      <c r="D25" s="1257" t="str">
        <f>VLOOKUP($A25,'Pre-Assessment Estimator'!$A$10:$Z$226,D$2,FALSE)</f>
        <v>Man 03</v>
      </c>
      <c r="E25" s="1258" t="str">
        <f>VLOOKUP($A25,'Pre-Assessment Estimator'!$A$10:$Z$226,E$2,FALSE)</f>
        <v>Energy consumption from activities on the construction site (step 2-4)</v>
      </c>
      <c r="F25" s="574">
        <f>VLOOKUP($A25,'Pre-Assessment Estimator'!$A$10:$Z$226,F$2,FALSE)</f>
        <v>1</v>
      </c>
      <c r="G25" s="580" t="str">
        <f>IF(VLOOKUP($A25,'Pre-Assessment Estimator'!$A$10:$Z$226,G$2,FALSE)=0,"",VLOOKUP($A25,'Pre-Assessment Estimator'!$A$10:$Z$226,G$2,FALSE))</f>
        <v/>
      </c>
      <c r="H25" s="575">
        <f>VLOOKUP($A25,'Pre-Assessment Estimator'!$A$10:$Z$226,H$2,FALSE)</f>
        <v>0</v>
      </c>
      <c r="I25" s="574" t="str">
        <f>VLOOKUP($A25,'Pre-Assessment Estimator'!$A$10:$Z$226,I$2,FALSE)</f>
        <v>Very Good</v>
      </c>
      <c r="J25" s="577" t="str">
        <f>IF(VLOOKUP($A25,'Pre-Assessment Estimator'!$A$10:$Z$226,J$2,FALSE)=0,"",VLOOKUP($A25,'Pre-Assessment Estimator'!$A$10:$Z$226,J$2,FALSE))</f>
        <v/>
      </c>
      <c r="K25" s="577" t="str">
        <f>IF(VLOOKUP($A25,'Pre-Assessment Estimator'!$A$10:$Z$226,K$2,FALSE)=0,"",VLOOKUP($A25,'Pre-Assessment Estimator'!$A$10:$Z$226,K$2,FALSE))</f>
        <v/>
      </c>
      <c r="L25" s="578" t="str">
        <f>IF(VLOOKUP($A25,'Pre-Assessment Estimator'!$A$10:$Z$226,L$2,FALSE)=0,"",VLOOKUP($A25,'Pre-Assessment Estimator'!$A$10:$Z$226,L$2,FALSE))</f>
        <v/>
      </c>
      <c r="M25" s="579"/>
      <c r="N25" s="580" t="str">
        <f>IF(VLOOKUP($A25,'Pre-Assessment Estimator'!$A$10:$Z$226,N$2,FALSE)=0,"",VLOOKUP($A25,'Pre-Assessment Estimator'!$A$10:$Z$226,N$2,FALSE))</f>
        <v/>
      </c>
      <c r="O25" s="575">
        <f>VLOOKUP($A25,'Pre-Assessment Estimator'!$A$10:$Z$226,O$2,FALSE)</f>
        <v>0</v>
      </c>
      <c r="P25" s="574" t="str">
        <f>VLOOKUP($A25,'Pre-Assessment Estimator'!$A$10:$Z$226,P$2,FALSE)</f>
        <v>Very Good</v>
      </c>
      <c r="Q25" s="577" t="str">
        <f>IF(VLOOKUP($A25,'Pre-Assessment Estimator'!$A$10:$Z$226,Q$2,FALSE)=0,"",VLOOKUP($A25,'Pre-Assessment Estimator'!$A$10:$Z$226,Q$2,FALSE))</f>
        <v/>
      </c>
      <c r="R25" s="577" t="str">
        <f>IF(VLOOKUP($A25,'Pre-Assessment Estimator'!$A$10:$Z$226,R$2,FALSE)=0,"",VLOOKUP($A25,'Pre-Assessment Estimator'!$A$10:$Z$226,R$2,FALSE))</f>
        <v/>
      </c>
      <c r="S25" s="578" t="str">
        <f>IF(VLOOKUP($A25,'Pre-Assessment Estimator'!$A$10:$Z$226,S$2,FALSE)=0,"",VLOOKUP($A25,'Pre-Assessment Estimator'!$A$10:$Z$226,S$2,FALSE))</f>
        <v/>
      </c>
      <c r="T25" s="581"/>
      <c r="U25" s="580" t="str">
        <f>IF(VLOOKUP($A25,'Pre-Assessment Estimator'!$A$10:$Z$226,U$2,FALSE)=0,"",VLOOKUP($A25,'Pre-Assessment Estimator'!$A$10:$Z$226,U$2,FALSE))</f>
        <v/>
      </c>
      <c r="V25" s="575">
        <f>VLOOKUP($A25,'Pre-Assessment Estimator'!$A$10:$Z$226,V$2,FALSE)</f>
        <v>0</v>
      </c>
      <c r="W25" s="574" t="str">
        <f>VLOOKUP($A25,'Pre-Assessment Estimator'!$A$10:$Z$226,W$2,FALSE)</f>
        <v>Very Good</v>
      </c>
      <c r="X25" s="577" t="str">
        <f>IF(VLOOKUP($A25,'Pre-Assessment Estimator'!$A$10:$Z$226,X$2,FALSE)=0,"",VLOOKUP($A25,'Pre-Assessment Estimator'!$A$10:$Z$226,X$2,FALSE))</f>
        <v/>
      </c>
      <c r="Y25" s="577" t="str">
        <f>IF(VLOOKUP($A25,'Pre-Assessment Estimator'!$A$10:$Z$226,Y$2,FALSE)=0,"",VLOOKUP($A25,'Pre-Assessment Estimator'!$A$10:$Z$226,Y$2,FALSE))</f>
        <v/>
      </c>
      <c r="Z25" s="370" t="str">
        <f>IF(VLOOKUP($A25,'Pre-Assessment Estimator'!$A$10:$Z$226,Z$2,FALSE)=0,"",VLOOKUP($A25,'Pre-Assessment Estimator'!$A$10:$Z$226,Z$2,FALSE))</f>
        <v/>
      </c>
      <c r="AA25" s="696">
        <v>16</v>
      </c>
      <c r="AB25" s="577"/>
      <c r="AF25" s="386">
        <f t="shared" si="0"/>
        <v>1</v>
      </c>
      <c r="AG25" s="414"/>
      <c r="AL25" s="413"/>
    </row>
    <row r="26" spans="1:38" x14ac:dyDescent="0.25">
      <c r="A26" s="823">
        <v>17</v>
      </c>
      <c r="B26" s="1234" t="s">
        <v>62</v>
      </c>
      <c r="C26" s="1234"/>
      <c r="D26" s="1257" t="str">
        <f>VLOOKUP($A26,'Pre-Assessment Estimator'!$A$10:$Z$226,D$2,FALSE)</f>
        <v>Man 03</v>
      </c>
      <c r="E26" s="1258" t="str">
        <f>VLOOKUP($A26,'Pre-Assessment Estimator'!$A$10:$Z$226,E$2,FALSE)</f>
        <v>Energy consumption from transport of masses and waste (step 2-4)</v>
      </c>
      <c r="F26" s="574">
        <f>VLOOKUP($A26,'Pre-Assessment Estimator'!$A$10:$Z$226,F$2,FALSE)</f>
        <v>2</v>
      </c>
      <c r="G26" s="580" t="str">
        <f>IF(VLOOKUP($A26,'Pre-Assessment Estimator'!$A$10:$Z$226,G$2,FALSE)=0,"",VLOOKUP($A26,'Pre-Assessment Estimator'!$A$10:$Z$226,G$2,FALSE))</f>
        <v/>
      </c>
      <c r="H26" s="575">
        <f>VLOOKUP($A26,'Pre-Assessment Estimator'!$A$10:$Z$226,H$2,FALSE)</f>
        <v>0</v>
      </c>
      <c r="I26" s="574" t="str">
        <f>VLOOKUP($A26,'Pre-Assessment Estimator'!$A$10:$Z$226,I$2,FALSE)</f>
        <v>Very Good</v>
      </c>
      <c r="J26" s="577" t="str">
        <f>IF(VLOOKUP($A26,'Pre-Assessment Estimator'!$A$10:$Z$226,J$2,FALSE)=0,"",VLOOKUP($A26,'Pre-Assessment Estimator'!$A$10:$Z$226,J$2,FALSE))</f>
        <v/>
      </c>
      <c r="K26" s="577" t="str">
        <f>IF(VLOOKUP($A26,'Pre-Assessment Estimator'!$A$10:$Z$226,K$2,FALSE)=0,"",VLOOKUP($A26,'Pre-Assessment Estimator'!$A$10:$Z$226,K$2,FALSE))</f>
        <v/>
      </c>
      <c r="L26" s="578" t="str">
        <f>IF(VLOOKUP($A26,'Pre-Assessment Estimator'!$A$10:$Z$226,L$2,FALSE)=0,"",VLOOKUP($A26,'Pre-Assessment Estimator'!$A$10:$Z$226,L$2,FALSE))</f>
        <v/>
      </c>
      <c r="M26" s="579"/>
      <c r="N26" s="580" t="str">
        <f>IF(VLOOKUP($A26,'Pre-Assessment Estimator'!$A$10:$Z$226,N$2,FALSE)=0,"",VLOOKUP($A26,'Pre-Assessment Estimator'!$A$10:$Z$226,N$2,FALSE))</f>
        <v/>
      </c>
      <c r="O26" s="575">
        <f>VLOOKUP($A26,'Pre-Assessment Estimator'!$A$10:$Z$226,O$2,FALSE)</f>
        <v>0</v>
      </c>
      <c r="P26" s="574" t="str">
        <f>VLOOKUP($A26,'Pre-Assessment Estimator'!$A$10:$Z$226,P$2,FALSE)</f>
        <v>Very Good</v>
      </c>
      <c r="Q26" s="577" t="str">
        <f>IF(VLOOKUP($A26,'Pre-Assessment Estimator'!$A$10:$Z$226,Q$2,FALSE)=0,"",VLOOKUP($A26,'Pre-Assessment Estimator'!$A$10:$Z$226,Q$2,FALSE))</f>
        <v/>
      </c>
      <c r="R26" s="577" t="str">
        <f>IF(VLOOKUP($A26,'Pre-Assessment Estimator'!$A$10:$Z$226,R$2,FALSE)=0,"",VLOOKUP($A26,'Pre-Assessment Estimator'!$A$10:$Z$226,R$2,FALSE))</f>
        <v/>
      </c>
      <c r="S26" s="578" t="str">
        <f>IF(VLOOKUP($A26,'Pre-Assessment Estimator'!$A$10:$Z$226,S$2,FALSE)=0,"",VLOOKUP($A26,'Pre-Assessment Estimator'!$A$10:$Z$226,S$2,FALSE))</f>
        <v/>
      </c>
      <c r="T26" s="581"/>
      <c r="U26" s="580" t="str">
        <f>IF(VLOOKUP($A26,'Pre-Assessment Estimator'!$A$10:$Z$226,U$2,FALSE)=0,"",VLOOKUP($A26,'Pre-Assessment Estimator'!$A$10:$Z$226,U$2,FALSE))</f>
        <v/>
      </c>
      <c r="V26" s="575">
        <f>VLOOKUP($A26,'Pre-Assessment Estimator'!$A$10:$Z$226,V$2,FALSE)</f>
        <v>0</v>
      </c>
      <c r="W26" s="574" t="str">
        <f>VLOOKUP($A26,'Pre-Assessment Estimator'!$A$10:$Z$226,W$2,FALSE)</f>
        <v>Very Good</v>
      </c>
      <c r="X26" s="577" t="str">
        <f>IF(VLOOKUP($A26,'Pre-Assessment Estimator'!$A$10:$Z$226,X$2,FALSE)=0,"",VLOOKUP($A26,'Pre-Assessment Estimator'!$A$10:$Z$226,X$2,FALSE))</f>
        <v/>
      </c>
      <c r="Y26" s="577" t="str">
        <f>IF(VLOOKUP($A26,'Pre-Assessment Estimator'!$A$10:$Z$226,Y$2,FALSE)=0,"",VLOOKUP($A26,'Pre-Assessment Estimator'!$A$10:$Z$226,Y$2,FALSE))</f>
        <v/>
      </c>
      <c r="Z26" s="370" t="str">
        <f>IF(VLOOKUP($A26,'Pre-Assessment Estimator'!$A$10:$Z$226,Z$2,FALSE)=0,"",VLOOKUP($A26,'Pre-Assessment Estimator'!$A$10:$Z$226,Z$2,FALSE))</f>
        <v/>
      </c>
      <c r="AA26" s="696">
        <v>17</v>
      </c>
      <c r="AB26" s="577"/>
      <c r="AF26" s="386">
        <f t="shared" si="0"/>
        <v>1</v>
      </c>
      <c r="AG26" s="414"/>
      <c r="AL26" s="413"/>
    </row>
    <row r="27" spans="1:38" x14ac:dyDescent="0.25">
      <c r="A27" s="823">
        <v>18</v>
      </c>
      <c r="B27" s="1234" t="s">
        <v>62</v>
      </c>
      <c r="C27" s="1234"/>
      <c r="D27" s="1256" t="str">
        <f>VLOOKUP($A27,'Pre-Assessment Estimator'!$A$10:$Z$226,D$2,FALSE)</f>
        <v>Man 04</v>
      </c>
      <c r="E27" s="1256" t="str">
        <f>VLOOKUP($A27,'Pre-Assessment Estimator'!$A$10:$Z$226,E$2,FALSE)</f>
        <v>Man 04 Commissioning and handover</v>
      </c>
      <c r="F27" s="574">
        <f>VLOOKUP($A27,'Pre-Assessment Estimator'!$A$10:$Z$226,F$2,FALSE)</f>
        <v>3</v>
      </c>
      <c r="G27" s="580" t="str">
        <f>IF(VLOOKUP($A27,'Pre-Assessment Estimator'!$A$10:$Z$226,G$2,FALSE)=0,"",VLOOKUP($A27,'Pre-Assessment Estimator'!$A$10:$Z$226,G$2,FALSE))</f>
        <v/>
      </c>
      <c r="H27" s="575" t="str">
        <f>VLOOKUP($A27,'Pre-Assessment Estimator'!$A$10:$Z$226,H$2,FALSE)</f>
        <v>0 c. 0 %</v>
      </c>
      <c r="I27" s="574" t="str">
        <f>VLOOKUP($A27,'Pre-Assessment Estimator'!$A$10:$Z$226,I$2,FALSE)</f>
        <v>N/A</v>
      </c>
      <c r="J27" s="577" t="str">
        <f>IF(VLOOKUP($A27,'Pre-Assessment Estimator'!$A$10:$Z$226,J$2,FALSE)=0,"",VLOOKUP($A27,'Pre-Assessment Estimator'!$A$10:$Z$226,J$2,FALSE))</f>
        <v/>
      </c>
      <c r="K27" s="577" t="str">
        <f>IF(VLOOKUP($A27,'Pre-Assessment Estimator'!$A$10:$Z$226,K$2,FALSE)=0,"",VLOOKUP($A27,'Pre-Assessment Estimator'!$A$10:$Z$226,K$2,FALSE))</f>
        <v/>
      </c>
      <c r="L27" s="578" t="str">
        <f>IF(VLOOKUP($A27,'Pre-Assessment Estimator'!$A$10:$Z$226,L$2,FALSE)=0,"",VLOOKUP($A27,'Pre-Assessment Estimator'!$A$10:$Z$226,L$2,FALSE))</f>
        <v/>
      </c>
      <c r="M27" s="579"/>
      <c r="N27" s="580" t="str">
        <f>IF(VLOOKUP($A27,'Pre-Assessment Estimator'!$A$10:$Z$226,N$2,FALSE)=0,"",VLOOKUP($A27,'Pre-Assessment Estimator'!$A$10:$Z$226,N$2,FALSE))</f>
        <v/>
      </c>
      <c r="O27" s="575" t="str">
        <f>VLOOKUP($A27,'Pre-Assessment Estimator'!$A$10:$Z$226,O$2,FALSE)</f>
        <v>0 c. 0 %</v>
      </c>
      <c r="P27" s="574" t="str">
        <f>VLOOKUP($A27,'Pre-Assessment Estimator'!$A$10:$Z$226,P$2,FALSE)</f>
        <v>N/A</v>
      </c>
      <c r="Q27" s="577" t="str">
        <f>IF(VLOOKUP($A27,'Pre-Assessment Estimator'!$A$10:$Z$226,Q$2,FALSE)=0,"",VLOOKUP($A27,'Pre-Assessment Estimator'!$A$10:$Z$226,Q$2,FALSE))</f>
        <v/>
      </c>
      <c r="R27" s="577" t="str">
        <f>IF(VLOOKUP($A27,'Pre-Assessment Estimator'!$A$10:$Z$226,R$2,FALSE)=0,"",VLOOKUP($A27,'Pre-Assessment Estimator'!$A$10:$Z$226,R$2,FALSE))</f>
        <v/>
      </c>
      <c r="S27" s="578" t="str">
        <f>IF(VLOOKUP($A27,'Pre-Assessment Estimator'!$A$10:$Z$226,S$2,FALSE)=0,"",VLOOKUP($A27,'Pre-Assessment Estimator'!$A$10:$Z$226,S$2,FALSE))</f>
        <v/>
      </c>
      <c r="T27" s="581"/>
      <c r="U27" s="580" t="str">
        <f>IF(VLOOKUP($A27,'Pre-Assessment Estimator'!$A$10:$Z$226,U$2,FALSE)=0,"",VLOOKUP($A27,'Pre-Assessment Estimator'!$A$10:$Z$226,U$2,FALSE))</f>
        <v/>
      </c>
      <c r="V27" s="575" t="str">
        <f>VLOOKUP($A27,'Pre-Assessment Estimator'!$A$10:$Z$226,V$2,FALSE)</f>
        <v>0 c. 0 %</v>
      </c>
      <c r="W27" s="574" t="str">
        <f>VLOOKUP($A27,'Pre-Assessment Estimator'!$A$10:$Z$226,W$2,FALSE)</f>
        <v>N/A</v>
      </c>
      <c r="X27" s="577" t="str">
        <f>IF(VLOOKUP($A27,'Pre-Assessment Estimator'!$A$10:$Z$226,X$2,FALSE)=0,"",VLOOKUP($A27,'Pre-Assessment Estimator'!$A$10:$Z$226,X$2,FALSE))</f>
        <v/>
      </c>
      <c r="Y27" s="577" t="str">
        <f>IF(VLOOKUP($A27,'Pre-Assessment Estimator'!$A$10:$Z$226,Y$2,FALSE)=0,"",VLOOKUP($A27,'Pre-Assessment Estimator'!$A$10:$Z$226,Y$2,FALSE))</f>
        <v/>
      </c>
      <c r="Z27" s="370" t="str">
        <f>IF(VLOOKUP($A27,'Pre-Assessment Estimator'!$A$10:$Z$226,Z$2,FALSE)=0,"",VLOOKUP($A27,'Pre-Assessment Estimator'!$A$10:$Z$226,Z$2,FALSE))</f>
        <v/>
      </c>
      <c r="AA27" s="696">
        <v>18</v>
      </c>
      <c r="AB27" s="577"/>
      <c r="AF27" s="386">
        <f t="shared" si="0"/>
        <v>1</v>
      </c>
      <c r="AG27" s="414"/>
      <c r="AL27" s="413"/>
    </row>
    <row r="28" spans="1:38" x14ac:dyDescent="0.25">
      <c r="A28" s="823">
        <v>19</v>
      </c>
      <c r="B28" s="1234" t="s">
        <v>62</v>
      </c>
      <c r="C28" s="1234"/>
      <c r="D28" s="1257" t="str">
        <f>VLOOKUP($A28,'Pre-Assessment Estimator'!$A$10:$Z$226,D$2,FALSE)</f>
        <v>Man 04</v>
      </c>
      <c r="E28" s="1258" t="str">
        <f>VLOOKUP($A28,'Pre-Assessment Estimator'!$A$10:$Z$226,E$2,FALSE)</f>
        <v xml:space="preserve">Commissioning - testing schedule and responsibilities </v>
      </c>
      <c r="F28" s="574">
        <f>VLOOKUP($A28,'Pre-Assessment Estimator'!$A$10:$Z$226,F$2,FALSE)</f>
        <v>1</v>
      </c>
      <c r="G28" s="580" t="str">
        <f>IF(VLOOKUP($A28,'Pre-Assessment Estimator'!$A$10:$Z$226,G$2,FALSE)=0,"",VLOOKUP($A28,'Pre-Assessment Estimator'!$A$10:$Z$226,G$2,FALSE))</f>
        <v/>
      </c>
      <c r="H28" s="575">
        <f>VLOOKUP($A28,'Pre-Assessment Estimator'!$A$10:$Z$226,H$2,FALSE)</f>
        <v>0</v>
      </c>
      <c r="I28" s="574" t="str">
        <f>VLOOKUP($A28,'Pre-Assessment Estimator'!$A$10:$Z$226,I$2,FALSE)</f>
        <v>Unclassified</v>
      </c>
      <c r="J28" s="577" t="str">
        <f>IF(VLOOKUP($A28,'Pre-Assessment Estimator'!$A$10:$Z$226,J$2,FALSE)=0,"",VLOOKUP($A28,'Pre-Assessment Estimator'!$A$10:$Z$226,J$2,FALSE))</f>
        <v/>
      </c>
      <c r="K28" s="577" t="str">
        <f>IF(VLOOKUP($A28,'Pre-Assessment Estimator'!$A$10:$Z$226,K$2,FALSE)=0,"",VLOOKUP($A28,'Pre-Assessment Estimator'!$A$10:$Z$226,K$2,FALSE))</f>
        <v/>
      </c>
      <c r="L28" s="578" t="str">
        <f>IF(VLOOKUP($A28,'Pre-Assessment Estimator'!$A$10:$Z$226,L$2,FALSE)=0,"",VLOOKUP($A28,'Pre-Assessment Estimator'!$A$10:$Z$226,L$2,FALSE))</f>
        <v/>
      </c>
      <c r="M28" s="579"/>
      <c r="N28" s="580" t="str">
        <f>IF(VLOOKUP($A28,'Pre-Assessment Estimator'!$A$10:$Z$226,N$2,FALSE)=0,"",VLOOKUP($A28,'Pre-Assessment Estimator'!$A$10:$Z$226,N$2,FALSE))</f>
        <v/>
      </c>
      <c r="O28" s="575">
        <f>VLOOKUP($A28,'Pre-Assessment Estimator'!$A$10:$Z$226,O$2,FALSE)</f>
        <v>0</v>
      </c>
      <c r="P28" s="574" t="str">
        <f>VLOOKUP($A28,'Pre-Assessment Estimator'!$A$10:$Z$226,P$2,FALSE)</f>
        <v>Unclassified</v>
      </c>
      <c r="Q28" s="577" t="str">
        <f>IF(VLOOKUP($A28,'Pre-Assessment Estimator'!$A$10:$Z$226,Q$2,FALSE)=0,"",VLOOKUP($A28,'Pre-Assessment Estimator'!$A$10:$Z$226,Q$2,FALSE))</f>
        <v/>
      </c>
      <c r="R28" s="577" t="str">
        <f>IF(VLOOKUP($A28,'Pre-Assessment Estimator'!$A$10:$Z$226,R$2,FALSE)=0,"",VLOOKUP($A28,'Pre-Assessment Estimator'!$A$10:$Z$226,R$2,FALSE))</f>
        <v/>
      </c>
      <c r="S28" s="578" t="str">
        <f>IF(VLOOKUP($A28,'Pre-Assessment Estimator'!$A$10:$Z$226,S$2,FALSE)=0,"",VLOOKUP($A28,'Pre-Assessment Estimator'!$A$10:$Z$226,S$2,FALSE))</f>
        <v/>
      </c>
      <c r="T28" s="581"/>
      <c r="U28" s="580" t="str">
        <f>IF(VLOOKUP($A28,'Pre-Assessment Estimator'!$A$10:$Z$226,U$2,FALSE)=0,"",VLOOKUP($A28,'Pre-Assessment Estimator'!$A$10:$Z$226,U$2,FALSE))</f>
        <v/>
      </c>
      <c r="V28" s="575">
        <f>VLOOKUP($A28,'Pre-Assessment Estimator'!$A$10:$Z$226,V$2,FALSE)</f>
        <v>0</v>
      </c>
      <c r="W28" s="574" t="str">
        <f>VLOOKUP($A28,'Pre-Assessment Estimator'!$A$10:$Z$226,W$2,FALSE)</f>
        <v>Unclassified</v>
      </c>
      <c r="X28" s="577" t="str">
        <f>IF(VLOOKUP($A28,'Pre-Assessment Estimator'!$A$10:$Z$226,X$2,FALSE)=0,"",VLOOKUP($A28,'Pre-Assessment Estimator'!$A$10:$Z$226,X$2,FALSE))</f>
        <v/>
      </c>
      <c r="Y28" s="577" t="str">
        <f>IF(VLOOKUP($A28,'Pre-Assessment Estimator'!$A$10:$Z$226,Y$2,FALSE)=0,"",VLOOKUP($A28,'Pre-Assessment Estimator'!$A$10:$Z$226,Y$2,FALSE))</f>
        <v/>
      </c>
      <c r="Z28" s="370" t="str">
        <f>IF(VLOOKUP($A28,'Pre-Assessment Estimator'!$A$10:$Z$226,Z$2,FALSE)=0,"",VLOOKUP($A28,'Pre-Assessment Estimator'!$A$10:$Z$226,Z$2,FALSE))</f>
        <v/>
      </c>
      <c r="AA28" s="696">
        <v>19</v>
      </c>
      <c r="AB28" s="577"/>
      <c r="AF28" s="386">
        <f t="shared" si="0"/>
        <v>1</v>
      </c>
      <c r="AG28" s="414"/>
      <c r="AL28" s="413"/>
    </row>
    <row r="29" spans="1:38" x14ac:dyDescent="0.25">
      <c r="A29" s="823">
        <v>20</v>
      </c>
      <c r="B29" s="1234" t="s">
        <v>62</v>
      </c>
      <c r="C29" s="1234"/>
      <c r="D29" s="1257" t="str">
        <f>VLOOKUP($A29,'Pre-Assessment Estimator'!$A$10:$Z$226,D$2,FALSE)</f>
        <v>Man 04</v>
      </c>
      <c r="E29" s="1258" t="str">
        <f>VLOOKUP($A29,'Pre-Assessment Estimator'!$A$10:$Z$226,E$2,FALSE)</f>
        <v>Commissioning - design, preperation and implementation</v>
      </c>
      <c r="F29" s="574">
        <f>VLOOKUP($A29,'Pre-Assessment Estimator'!$A$10:$Z$226,F$2,FALSE)</f>
        <v>1</v>
      </c>
      <c r="G29" s="580" t="str">
        <f>IF(VLOOKUP($A29,'Pre-Assessment Estimator'!$A$10:$Z$226,G$2,FALSE)=0,"",VLOOKUP($A29,'Pre-Assessment Estimator'!$A$10:$Z$226,G$2,FALSE))</f>
        <v/>
      </c>
      <c r="H29" s="575">
        <f>VLOOKUP($A29,'Pre-Assessment Estimator'!$A$10:$Z$226,H$2,FALSE)</f>
        <v>0</v>
      </c>
      <c r="I29" s="574" t="str">
        <f>VLOOKUP($A29,'Pre-Assessment Estimator'!$A$10:$Z$226,I$2,FALSE)</f>
        <v>N/A</v>
      </c>
      <c r="J29" s="577" t="str">
        <f>IF(VLOOKUP($A29,'Pre-Assessment Estimator'!$A$10:$Z$226,J$2,FALSE)=0,"",VLOOKUP($A29,'Pre-Assessment Estimator'!$A$10:$Z$226,J$2,FALSE))</f>
        <v/>
      </c>
      <c r="K29" s="577" t="str">
        <f>IF(VLOOKUP($A29,'Pre-Assessment Estimator'!$A$10:$Z$226,K$2,FALSE)=0,"",VLOOKUP($A29,'Pre-Assessment Estimator'!$A$10:$Z$226,K$2,FALSE))</f>
        <v/>
      </c>
      <c r="L29" s="578" t="str">
        <f>IF(VLOOKUP($A29,'Pre-Assessment Estimator'!$A$10:$Z$226,L$2,FALSE)=0,"",VLOOKUP($A29,'Pre-Assessment Estimator'!$A$10:$Z$226,L$2,FALSE))</f>
        <v/>
      </c>
      <c r="M29" s="579"/>
      <c r="N29" s="580" t="str">
        <f>IF(VLOOKUP($A29,'Pre-Assessment Estimator'!$A$10:$Z$226,N$2,FALSE)=0,"",VLOOKUP($A29,'Pre-Assessment Estimator'!$A$10:$Z$226,N$2,FALSE))</f>
        <v/>
      </c>
      <c r="O29" s="575">
        <f>VLOOKUP($A29,'Pre-Assessment Estimator'!$A$10:$Z$226,O$2,FALSE)</f>
        <v>0</v>
      </c>
      <c r="P29" s="574" t="str">
        <f>VLOOKUP($A29,'Pre-Assessment Estimator'!$A$10:$Z$226,P$2,FALSE)</f>
        <v>N/A</v>
      </c>
      <c r="Q29" s="577" t="str">
        <f>IF(VLOOKUP($A29,'Pre-Assessment Estimator'!$A$10:$Z$226,Q$2,FALSE)=0,"",VLOOKUP($A29,'Pre-Assessment Estimator'!$A$10:$Z$226,Q$2,FALSE))</f>
        <v/>
      </c>
      <c r="R29" s="577" t="str">
        <f>IF(VLOOKUP($A29,'Pre-Assessment Estimator'!$A$10:$Z$226,R$2,FALSE)=0,"",VLOOKUP($A29,'Pre-Assessment Estimator'!$A$10:$Z$226,R$2,FALSE))</f>
        <v/>
      </c>
      <c r="S29" s="578" t="str">
        <f>IF(VLOOKUP($A29,'Pre-Assessment Estimator'!$A$10:$Z$226,S$2,FALSE)=0,"",VLOOKUP($A29,'Pre-Assessment Estimator'!$A$10:$Z$226,S$2,FALSE))</f>
        <v/>
      </c>
      <c r="T29" s="581"/>
      <c r="U29" s="580" t="str">
        <f>IF(VLOOKUP($A29,'Pre-Assessment Estimator'!$A$10:$Z$226,U$2,FALSE)=0,"",VLOOKUP($A29,'Pre-Assessment Estimator'!$A$10:$Z$226,U$2,FALSE))</f>
        <v/>
      </c>
      <c r="V29" s="575">
        <f>VLOOKUP($A29,'Pre-Assessment Estimator'!$A$10:$Z$226,V$2,FALSE)</f>
        <v>0</v>
      </c>
      <c r="W29" s="574" t="str">
        <f>VLOOKUP($A29,'Pre-Assessment Estimator'!$A$10:$Z$226,W$2,FALSE)</f>
        <v>N/A</v>
      </c>
      <c r="X29" s="577" t="str">
        <f>IF(VLOOKUP($A29,'Pre-Assessment Estimator'!$A$10:$Z$226,X$2,FALSE)=0,"",VLOOKUP($A29,'Pre-Assessment Estimator'!$A$10:$Z$226,X$2,FALSE))</f>
        <v/>
      </c>
      <c r="Y29" s="577" t="str">
        <f>IF(VLOOKUP($A29,'Pre-Assessment Estimator'!$A$10:$Z$226,Y$2,FALSE)=0,"",VLOOKUP($A29,'Pre-Assessment Estimator'!$A$10:$Z$226,Y$2,FALSE))</f>
        <v/>
      </c>
      <c r="Z29" s="370" t="str">
        <f>IF(VLOOKUP($A29,'Pre-Assessment Estimator'!$A$10:$Z$226,Z$2,FALSE)=0,"",VLOOKUP($A29,'Pre-Assessment Estimator'!$A$10:$Z$226,Z$2,FALSE))</f>
        <v/>
      </c>
      <c r="AA29" s="696">
        <v>20</v>
      </c>
      <c r="AB29" s="577"/>
      <c r="AF29" s="386">
        <f t="shared" si="0"/>
        <v>1</v>
      </c>
      <c r="AG29" s="414"/>
      <c r="AL29" s="413"/>
    </row>
    <row r="30" spans="1:38" x14ac:dyDescent="0.25">
      <c r="A30" s="823">
        <v>21</v>
      </c>
      <c r="B30" s="1234" t="s">
        <v>62</v>
      </c>
      <c r="C30" s="1234"/>
      <c r="D30" s="1257" t="str">
        <f>VLOOKUP($A30,'Pre-Assessment Estimator'!$A$10:$Z$226,D$2,FALSE)</f>
        <v>Man 04</v>
      </c>
      <c r="E30" s="1258" t="str">
        <f>VLOOKUP($A30,'Pre-Assessment Estimator'!$A$10:$Z$226,E$2,FALSE)</f>
        <v>Prepare for good handover</v>
      </c>
      <c r="F30" s="574">
        <f>VLOOKUP($A30,'Pre-Assessment Estimator'!$A$10:$Z$226,F$2,FALSE)</f>
        <v>1</v>
      </c>
      <c r="G30" s="580" t="str">
        <f>IF(VLOOKUP($A30,'Pre-Assessment Estimator'!$A$10:$Z$226,G$2,FALSE)=0,"",VLOOKUP($A30,'Pre-Assessment Estimator'!$A$10:$Z$226,G$2,FALSE))</f>
        <v/>
      </c>
      <c r="H30" s="575">
        <f>VLOOKUP($A30,'Pre-Assessment Estimator'!$A$10:$Z$226,H$2,FALSE)</f>
        <v>0</v>
      </c>
      <c r="I30" s="574" t="str">
        <f>VLOOKUP($A30,'Pre-Assessment Estimator'!$A$10:$Z$226,I$2,FALSE)</f>
        <v>Good</v>
      </c>
      <c r="J30" s="577" t="str">
        <f>IF(VLOOKUP($A30,'Pre-Assessment Estimator'!$A$10:$Z$226,J$2,FALSE)=0,"",VLOOKUP($A30,'Pre-Assessment Estimator'!$A$10:$Z$226,J$2,FALSE))</f>
        <v/>
      </c>
      <c r="K30" s="577" t="str">
        <f>IF(VLOOKUP($A30,'Pre-Assessment Estimator'!$A$10:$Z$226,K$2,FALSE)=0,"",VLOOKUP($A30,'Pre-Assessment Estimator'!$A$10:$Z$226,K$2,FALSE))</f>
        <v/>
      </c>
      <c r="L30" s="578" t="str">
        <f>IF(VLOOKUP($A30,'Pre-Assessment Estimator'!$A$10:$Z$226,L$2,FALSE)=0,"",VLOOKUP($A30,'Pre-Assessment Estimator'!$A$10:$Z$226,L$2,FALSE))</f>
        <v/>
      </c>
      <c r="M30" s="579"/>
      <c r="N30" s="580" t="str">
        <f>IF(VLOOKUP($A30,'Pre-Assessment Estimator'!$A$10:$Z$226,N$2,FALSE)=0,"",VLOOKUP($A30,'Pre-Assessment Estimator'!$A$10:$Z$226,N$2,FALSE))</f>
        <v/>
      </c>
      <c r="O30" s="575">
        <f>VLOOKUP($A30,'Pre-Assessment Estimator'!$A$10:$Z$226,O$2,FALSE)</f>
        <v>0</v>
      </c>
      <c r="P30" s="574" t="str">
        <f>VLOOKUP($A30,'Pre-Assessment Estimator'!$A$10:$Z$226,P$2,FALSE)</f>
        <v>Good</v>
      </c>
      <c r="Q30" s="577" t="str">
        <f>IF(VLOOKUP($A30,'Pre-Assessment Estimator'!$A$10:$Z$226,Q$2,FALSE)=0,"",VLOOKUP($A30,'Pre-Assessment Estimator'!$A$10:$Z$226,Q$2,FALSE))</f>
        <v/>
      </c>
      <c r="R30" s="577" t="str">
        <f>IF(VLOOKUP($A30,'Pre-Assessment Estimator'!$A$10:$Z$226,R$2,FALSE)=0,"",VLOOKUP($A30,'Pre-Assessment Estimator'!$A$10:$Z$226,R$2,FALSE))</f>
        <v/>
      </c>
      <c r="S30" s="578" t="str">
        <f>IF(VLOOKUP($A30,'Pre-Assessment Estimator'!$A$10:$Z$226,S$2,FALSE)=0,"",VLOOKUP($A30,'Pre-Assessment Estimator'!$A$10:$Z$226,S$2,FALSE))</f>
        <v/>
      </c>
      <c r="T30" s="581"/>
      <c r="U30" s="580" t="str">
        <f>IF(VLOOKUP($A30,'Pre-Assessment Estimator'!$A$10:$Z$226,U$2,FALSE)=0,"",VLOOKUP($A30,'Pre-Assessment Estimator'!$A$10:$Z$226,U$2,FALSE))</f>
        <v/>
      </c>
      <c r="V30" s="575">
        <f>VLOOKUP($A30,'Pre-Assessment Estimator'!$A$10:$Z$226,V$2,FALSE)</f>
        <v>0</v>
      </c>
      <c r="W30" s="574" t="str">
        <f>VLOOKUP($A30,'Pre-Assessment Estimator'!$A$10:$Z$226,W$2,FALSE)</f>
        <v>Good</v>
      </c>
      <c r="X30" s="577" t="str">
        <f>IF(VLOOKUP($A30,'Pre-Assessment Estimator'!$A$10:$Z$226,X$2,FALSE)=0,"",VLOOKUP($A30,'Pre-Assessment Estimator'!$A$10:$Z$226,X$2,FALSE))</f>
        <v/>
      </c>
      <c r="Y30" s="577" t="str">
        <f>IF(VLOOKUP($A30,'Pre-Assessment Estimator'!$A$10:$Z$226,Y$2,FALSE)=0,"",VLOOKUP($A30,'Pre-Assessment Estimator'!$A$10:$Z$226,Y$2,FALSE))</f>
        <v/>
      </c>
      <c r="Z30" s="370" t="str">
        <f>IF(VLOOKUP($A30,'Pre-Assessment Estimator'!$A$10:$Z$226,Z$2,FALSE)=0,"",VLOOKUP($A30,'Pre-Assessment Estimator'!$A$10:$Z$226,Z$2,FALSE))</f>
        <v/>
      </c>
      <c r="AA30" s="696">
        <v>21</v>
      </c>
      <c r="AB30" s="577"/>
      <c r="AF30" s="386">
        <f t="shared" si="0"/>
        <v>1</v>
      </c>
      <c r="AG30" s="414"/>
      <c r="AL30" s="413"/>
    </row>
    <row r="31" spans="1:38" x14ac:dyDescent="0.25">
      <c r="A31" s="823">
        <v>22</v>
      </c>
      <c r="B31" s="1234" t="s">
        <v>62</v>
      </c>
      <c r="C31" s="1234"/>
      <c r="D31" s="1256" t="str">
        <f>VLOOKUP($A31,'Pre-Assessment Estimator'!$A$10:$Z$226,D$2,FALSE)</f>
        <v>Man 05</v>
      </c>
      <c r="E31" s="1256" t="str">
        <f>VLOOKUP($A31,'Pre-Assessment Estimator'!$A$10:$Z$226,E$2,FALSE)</f>
        <v>Man 05 Aftercare</v>
      </c>
      <c r="F31" s="574">
        <f>VLOOKUP($A31,'Pre-Assessment Estimator'!$A$10:$Z$226,F$2,FALSE)</f>
        <v>3</v>
      </c>
      <c r="G31" s="580" t="str">
        <f>IF(VLOOKUP($A31,'Pre-Assessment Estimator'!$A$10:$Z$226,G$2,FALSE)=0,"",VLOOKUP($A31,'Pre-Assessment Estimator'!$A$10:$Z$226,G$2,FALSE))</f>
        <v/>
      </c>
      <c r="H31" s="575" t="str">
        <f>VLOOKUP($A31,'Pre-Assessment Estimator'!$A$10:$Z$226,H$2,FALSE)</f>
        <v>0 c. 0 %</v>
      </c>
      <c r="I31" s="574" t="str">
        <f>VLOOKUP($A31,'Pre-Assessment Estimator'!$A$10:$Z$226,I$2,FALSE)</f>
        <v>N/A</v>
      </c>
      <c r="J31" s="577" t="str">
        <f>IF(VLOOKUP($A31,'Pre-Assessment Estimator'!$A$10:$Z$226,J$2,FALSE)=0,"",VLOOKUP($A31,'Pre-Assessment Estimator'!$A$10:$Z$226,J$2,FALSE))</f>
        <v/>
      </c>
      <c r="K31" s="577" t="str">
        <f>IF(VLOOKUP($A31,'Pre-Assessment Estimator'!$A$10:$Z$226,K$2,FALSE)=0,"",VLOOKUP($A31,'Pre-Assessment Estimator'!$A$10:$Z$226,K$2,FALSE))</f>
        <v/>
      </c>
      <c r="L31" s="578" t="str">
        <f>IF(VLOOKUP($A31,'Pre-Assessment Estimator'!$A$10:$Z$226,L$2,FALSE)=0,"",VLOOKUP($A31,'Pre-Assessment Estimator'!$A$10:$Z$226,L$2,FALSE))</f>
        <v/>
      </c>
      <c r="M31" s="579"/>
      <c r="N31" s="580" t="str">
        <f>IF(VLOOKUP($A31,'Pre-Assessment Estimator'!$A$10:$Z$226,N$2,FALSE)=0,"",VLOOKUP($A31,'Pre-Assessment Estimator'!$A$10:$Z$226,N$2,FALSE))</f>
        <v/>
      </c>
      <c r="O31" s="575" t="str">
        <f>VLOOKUP($A31,'Pre-Assessment Estimator'!$A$10:$Z$226,O$2,FALSE)</f>
        <v>0 c. 0 %</v>
      </c>
      <c r="P31" s="574" t="str">
        <f>VLOOKUP($A31,'Pre-Assessment Estimator'!$A$10:$Z$226,P$2,FALSE)</f>
        <v>N/A</v>
      </c>
      <c r="Q31" s="577" t="str">
        <f>IF(VLOOKUP($A31,'Pre-Assessment Estimator'!$A$10:$Z$226,Q$2,FALSE)=0,"",VLOOKUP($A31,'Pre-Assessment Estimator'!$A$10:$Z$226,Q$2,FALSE))</f>
        <v/>
      </c>
      <c r="R31" s="577" t="str">
        <f>IF(VLOOKUP($A31,'Pre-Assessment Estimator'!$A$10:$Z$226,R$2,FALSE)=0,"",VLOOKUP($A31,'Pre-Assessment Estimator'!$A$10:$Z$226,R$2,FALSE))</f>
        <v/>
      </c>
      <c r="S31" s="578" t="str">
        <f>IF(VLOOKUP($A31,'Pre-Assessment Estimator'!$A$10:$Z$226,S$2,FALSE)=0,"",VLOOKUP($A31,'Pre-Assessment Estimator'!$A$10:$Z$226,S$2,FALSE))</f>
        <v/>
      </c>
      <c r="T31" s="581"/>
      <c r="U31" s="580" t="str">
        <f>IF(VLOOKUP($A31,'Pre-Assessment Estimator'!$A$10:$Z$226,U$2,FALSE)=0,"",VLOOKUP($A31,'Pre-Assessment Estimator'!$A$10:$Z$226,U$2,FALSE))</f>
        <v/>
      </c>
      <c r="V31" s="575" t="str">
        <f>VLOOKUP($A31,'Pre-Assessment Estimator'!$A$10:$Z$226,V$2,FALSE)</f>
        <v>0 c. 0 %</v>
      </c>
      <c r="W31" s="574" t="str">
        <f>VLOOKUP($A31,'Pre-Assessment Estimator'!$A$10:$Z$226,W$2,FALSE)</f>
        <v>N/A</v>
      </c>
      <c r="X31" s="577" t="str">
        <f>IF(VLOOKUP($A31,'Pre-Assessment Estimator'!$A$10:$Z$226,X$2,FALSE)=0,"",VLOOKUP($A31,'Pre-Assessment Estimator'!$A$10:$Z$226,X$2,FALSE))</f>
        <v/>
      </c>
      <c r="Y31" s="577" t="str">
        <f>IF(VLOOKUP($A31,'Pre-Assessment Estimator'!$A$10:$Z$226,Y$2,FALSE)=0,"",VLOOKUP($A31,'Pre-Assessment Estimator'!$A$10:$Z$226,Y$2,FALSE))</f>
        <v/>
      </c>
      <c r="Z31" s="370" t="str">
        <f>IF(VLOOKUP($A31,'Pre-Assessment Estimator'!$A$10:$Z$226,Z$2,FALSE)=0,"",VLOOKUP($A31,'Pre-Assessment Estimator'!$A$10:$Z$226,Z$2,FALSE))</f>
        <v/>
      </c>
      <c r="AA31" s="696">
        <v>22</v>
      </c>
      <c r="AB31" s="577"/>
      <c r="AF31" s="386">
        <f t="shared" si="0"/>
        <v>1</v>
      </c>
      <c r="AG31" s="414"/>
      <c r="AL31" s="413"/>
    </row>
    <row r="32" spans="1:38" x14ac:dyDescent="0.25">
      <c r="A32" s="823">
        <v>23</v>
      </c>
      <c r="B32" s="1234" t="s">
        <v>62</v>
      </c>
      <c r="C32" s="1234"/>
      <c r="D32" s="1257" t="str">
        <f>VLOOKUP($A32,'Pre-Assessment Estimator'!$A$10:$Z$226,D$2,FALSE)</f>
        <v>Man 05</v>
      </c>
      <c r="E32" s="1258" t="str">
        <f>VLOOKUP($A32,'Pre-Assessment Estimator'!$A$10:$Z$226,E$2,FALSE)</f>
        <v>Aftercare support</v>
      </c>
      <c r="F32" s="574">
        <f>VLOOKUP($A32,'Pre-Assessment Estimator'!$A$10:$Z$226,F$2,FALSE)</f>
        <v>1</v>
      </c>
      <c r="G32" s="580" t="str">
        <f>IF(VLOOKUP($A32,'Pre-Assessment Estimator'!$A$10:$Z$226,G$2,FALSE)=0,"",VLOOKUP($A32,'Pre-Assessment Estimator'!$A$10:$Z$226,G$2,FALSE))</f>
        <v/>
      </c>
      <c r="H32" s="575">
        <f>VLOOKUP($A32,'Pre-Assessment Estimator'!$A$10:$Z$226,H$2,FALSE)</f>
        <v>0</v>
      </c>
      <c r="I32" s="574" t="str">
        <f>VLOOKUP($A32,'Pre-Assessment Estimator'!$A$10:$Z$226,I$2,FALSE)</f>
        <v>N/A</v>
      </c>
      <c r="J32" s="577" t="str">
        <f>IF(VLOOKUP($A32,'Pre-Assessment Estimator'!$A$10:$Z$226,J$2,FALSE)=0,"",VLOOKUP($A32,'Pre-Assessment Estimator'!$A$10:$Z$226,J$2,FALSE))</f>
        <v/>
      </c>
      <c r="K32" s="577" t="str">
        <f>IF(VLOOKUP($A32,'Pre-Assessment Estimator'!$A$10:$Z$226,K$2,FALSE)=0,"",VLOOKUP($A32,'Pre-Assessment Estimator'!$A$10:$Z$226,K$2,FALSE))</f>
        <v/>
      </c>
      <c r="L32" s="578" t="str">
        <f>IF(VLOOKUP($A32,'Pre-Assessment Estimator'!$A$10:$Z$226,L$2,FALSE)=0,"",VLOOKUP($A32,'Pre-Assessment Estimator'!$A$10:$Z$226,L$2,FALSE))</f>
        <v/>
      </c>
      <c r="M32" s="579"/>
      <c r="N32" s="580" t="str">
        <f>IF(VLOOKUP($A32,'Pre-Assessment Estimator'!$A$10:$Z$226,N$2,FALSE)=0,"",VLOOKUP($A32,'Pre-Assessment Estimator'!$A$10:$Z$226,N$2,FALSE))</f>
        <v/>
      </c>
      <c r="O32" s="575">
        <f>VLOOKUP($A32,'Pre-Assessment Estimator'!$A$10:$Z$226,O$2,FALSE)</f>
        <v>0</v>
      </c>
      <c r="P32" s="574" t="str">
        <f>VLOOKUP($A32,'Pre-Assessment Estimator'!$A$10:$Z$226,P$2,FALSE)</f>
        <v>N/A</v>
      </c>
      <c r="Q32" s="577" t="str">
        <f>IF(VLOOKUP($A32,'Pre-Assessment Estimator'!$A$10:$Z$226,Q$2,FALSE)=0,"",VLOOKUP($A32,'Pre-Assessment Estimator'!$A$10:$Z$226,Q$2,FALSE))</f>
        <v/>
      </c>
      <c r="R32" s="577" t="str">
        <f>IF(VLOOKUP($A32,'Pre-Assessment Estimator'!$A$10:$Z$226,R$2,FALSE)=0,"",VLOOKUP($A32,'Pre-Assessment Estimator'!$A$10:$Z$226,R$2,FALSE))</f>
        <v/>
      </c>
      <c r="S32" s="578" t="str">
        <f>IF(VLOOKUP($A32,'Pre-Assessment Estimator'!$A$10:$Z$226,S$2,FALSE)=0,"",VLOOKUP($A32,'Pre-Assessment Estimator'!$A$10:$Z$226,S$2,FALSE))</f>
        <v/>
      </c>
      <c r="T32" s="581"/>
      <c r="U32" s="580" t="str">
        <f>IF(VLOOKUP($A32,'Pre-Assessment Estimator'!$A$10:$Z$226,U$2,FALSE)=0,"",VLOOKUP($A32,'Pre-Assessment Estimator'!$A$10:$Z$226,U$2,FALSE))</f>
        <v/>
      </c>
      <c r="V32" s="575">
        <f>VLOOKUP($A32,'Pre-Assessment Estimator'!$A$10:$Z$226,V$2,FALSE)</f>
        <v>0</v>
      </c>
      <c r="W32" s="574" t="str">
        <f>VLOOKUP($A32,'Pre-Assessment Estimator'!$A$10:$Z$226,W$2,FALSE)</f>
        <v>N/A</v>
      </c>
      <c r="X32" s="577" t="str">
        <f>IF(VLOOKUP($A32,'Pre-Assessment Estimator'!$A$10:$Z$226,X$2,FALSE)=0,"",VLOOKUP($A32,'Pre-Assessment Estimator'!$A$10:$Z$226,X$2,FALSE))</f>
        <v/>
      </c>
      <c r="Y32" s="577" t="str">
        <f>IF(VLOOKUP($A32,'Pre-Assessment Estimator'!$A$10:$Z$226,Y$2,FALSE)=0,"",VLOOKUP($A32,'Pre-Assessment Estimator'!$A$10:$Z$226,Y$2,FALSE))</f>
        <v/>
      </c>
      <c r="Z32" s="370" t="str">
        <f>IF(VLOOKUP($A32,'Pre-Assessment Estimator'!$A$10:$Z$226,Z$2,FALSE)=0,"",VLOOKUP($A32,'Pre-Assessment Estimator'!$A$10:$Z$226,Z$2,FALSE))</f>
        <v/>
      </c>
      <c r="AA32" s="696">
        <v>23</v>
      </c>
      <c r="AB32" s="577"/>
      <c r="AF32" s="386">
        <f t="shared" si="0"/>
        <v>1</v>
      </c>
      <c r="AG32" s="414"/>
      <c r="AL32" s="413"/>
    </row>
    <row r="33" spans="1:42" x14ac:dyDescent="0.25">
      <c r="A33" s="823">
        <v>24</v>
      </c>
      <c r="B33" s="1234" t="s">
        <v>62</v>
      </c>
      <c r="C33" s="1234"/>
      <c r="D33" s="1257" t="str">
        <f>VLOOKUP($A33,'Pre-Assessment Estimator'!$A$10:$Z$226,D$2,FALSE)</f>
        <v>Man 05</v>
      </c>
      <c r="E33" s="1258" t="str">
        <f>VLOOKUP($A33,'Pre-Assessment Estimator'!$A$10:$Z$226,E$2,FALSE)</f>
        <v>Sesonal commisioning</v>
      </c>
      <c r="F33" s="574">
        <f>VLOOKUP($A33,'Pre-Assessment Estimator'!$A$10:$Z$226,F$2,FALSE)</f>
        <v>1</v>
      </c>
      <c r="G33" s="580" t="str">
        <f>IF(VLOOKUP($A33,'Pre-Assessment Estimator'!$A$10:$Z$226,G$2,FALSE)=0,"",VLOOKUP($A33,'Pre-Assessment Estimator'!$A$10:$Z$226,G$2,FALSE))</f>
        <v/>
      </c>
      <c r="H33" s="575">
        <f>VLOOKUP($A33,'Pre-Assessment Estimator'!$A$10:$Z$226,H$2,FALSE)</f>
        <v>0</v>
      </c>
      <c r="I33" s="574" t="str">
        <f>VLOOKUP($A33,'Pre-Assessment Estimator'!$A$10:$Z$226,I$2,FALSE)</f>
        <v>Very Good</v>
      </c>
      <c r="J33" s="577" t="str">
        <f>IF(VLOOKUP($A33,'Pre-Assessment Estimator'!$A$10:$Z$226,J$2,FALSE)=0,"",VLOOKUP($A33,'Pre-Assessment Estimator'!$A$10:$Z$226,J$2,FALSE))</f>
        <v/>
      </c>
      <c r="K33" s="577" t="str">
        <f>IF(VLOOKUP($A33,'Pre-Assessment Estimator'!$A$10:$Z$226,K$2,FALSE)=0,"",VLOOKUP($A33,'Pre-Assessment Estimator'!$A$10:$Z$226,K$2,FALSE))</f>
        <v/>
      </c>
      <c r="L33" s="578" t="str">
        <f>IF(VLOOKUP($A33,'Pre-Assessment Estimator'!$A$10:$Z$226,L$2,FALSE)=0,"",VLOOKUP($A33,'Pre-Assessment Estimator'!$A$10:$Z$226,L$2,FALSE))</f>
        <v/>
      </c>
      <c r="M33" s="579"/>
      <c r="N33" s="580" t="str">
        <f>IF(VLOOKUP($A33,'Pre-Assessment Estimator'!$A$10:$Z$226,N$2,FALSE)=0,"",VLOOKUP($A33,'Pre-Assessment Estimator'!$A$10:$Z$226,N$2,FALSE))</f>
        <v/>
      </c>
      <c r="O33" s="575">
        <f>VLOOKUP($A33,'Pre-Assessment Estimator'!$A$10:$Z$226,O$2,FALSE)</f>
        <v>0</v>
      </c>
      <c r="P33" s="574" t="str">
        <f>VLOOKUP($A33,'Pre-Assessment Estimator'!$A$10:$Z$226,P$2,FALSE)</f>
        <v>Very Good</v>
      </c>
      <c r="Q33" s="577" t="str">
        <f>IF(VLOOKUP($A33,'Pre-Assessment Estimator'!$A$10:$Z$226,Q$2,FALSE)=0,"",VLOOKUP($A33,'Pre-Assessment Estimator'!$A$10:$Z$226,Q$2,FALSE))</f>
        <v/>
      </c>
      <c r="R33" s="577" t="str">
        <f>IF(VLOOKUP($A33,'Pre-Assessment Estimator'!$A$10:$Z$226,R$2,FALSE)=0,"",VLOOKUP($A33,'Pre-Assessment Estimator'!$A$10:$Z$226,R$2,FALSE))</f>
        <v/>
      </c>
      <c r="S33" s="578" t="str">
        <f>IF(VLOOKUP($A33,'Pre-Assessment Estimator'!$A$10:$Z$226,S$2,FALSE)=0,"",VLOOKUP($A33,'Pre-Assessment Estimator'!$A$10:$Z$226,S$2,FALSE))</f>
        <v/>
      </c>
      <c r="T33" s="581"/>
      <c r="U33" s="580" t="str">
        <f>IF(VLOOKUP($A33,'Pre-Assessment Estimator'!$A$10:$Z$226,U$2,FALSE)=0,"",VLOOKUP($A33,'Pre-Assessment Estimator'!$A$10:$Z$226,U$2,FALSE))</f>
        <v/>
      </c>
      <c r="V33" s="575">
        <f>VLOOKUP($A33,'Pre-Assessment Estimator'!$A$10:$Z$226,V$2,FALSE)</f>
        <v>0</v>
      </c>
      <c r="W33" s="574" t="str">
        <f>VLOOKUP($A33,'Pre-Assessment Estimator'!$A$10:$Z$226,W$2,FALSE)</f>
        <v>Very Good</v>
      </c>
      <c r="X33" s="577" t="str">
        <f>IF(VLOOKUP($A33,'Pre-Assessment Estimator'!$A$10:$Z$226,X$2,FALSE)=0,"",VLOOKUP($A33,'Pre-Assessment Estimator'!$A$10:$Z$226,X$2,FALSE))</f>
        <v/>
      </c>
      <c r="Y33" s="577" t="str">
        <f>IF(VLOOKUP($A33,'Pre-Assessment Estimator'!$A$10:$Z$226,Y$2,FALSE)=0,"",VLOOKUP($A33,'Pre-Assessment Estimator'!$A$10:$Z$226,Y$2,FALSE))</f>
        <v/>
      </c>
      <c r="Z33" s="370" t="str">
        <f>IF(VLOOKUP($A33,'Pre-Assessment Estimator'!$A$10:$Z$226,Z$2,FALSE)=0,"",VLOOKUP($A33,'Pre-Assessment Estimator'!$A$10:$Z$226,Z$2,FALSE))</f>
        <v/>
      </c>
      <c r="AA33" s="696">
        <v>24</v>
      </c>
      <c r="AB33" s="577"/>
      <c r="AF33" s="386">
        <f t="shared" si="0"/>
        <v>1</v>
      </c>
      <c r="AG33" s="414"/>
      <c r="AL33" s="413"/>
    </row>
    <row r="34" spans="1:42" x14ac:dyDescent="0.25">
      <c r="A34" s="823">
        <v>25</v>
      </c>
      <c r="B34" s="1234" t="s">
        <v>62</v>
      </c>
      <c r="C34" s="1234"/>
      <c r="D34" s="1257" t="str">
        <f>VLOOKUP($A34,'Pre-Assessment Estimator'!$A$10:$Z$226,D$2,FALSE)</f>
        <v>Man 05</v>
      </c>
      <c r="E34" s="1258" t="str">
        <f>VLOOKUP($A34,'Pre-Assessment Estimator'!$A$10:$Z$226,E$2,FALSE)</f>
        <v>Post-occypancy evaluation</v>
      </c>
      <c r="F34" s="574">
        <f>VLOOKUP($A34,'Pre-Assessment Estimator'!$A$10:$Z$226,F$2,FALSE)</f>
        <v>1</v>
      </c>
      <c r="G34" s="580" t="str">
        <f>IF(VLOOKUP($A34,'Pre-Assessment Estimator'!$A$10:$Z$226,G$2,FALSE)=0,"",VLOOKUP($A34,'Pre-Assessment Estimator'!$A$10:$Z$226,G$2,FALSE))</f>
        <v/>
      </c>
      <c r="H34" s="575">
        <f>VLOOKUP($A34,'Pre-Assessment Estimator'!$A$10:$Z$226,H$2,FALSE)</f>
        <v>0</v>
      </c>
      <c r="I34" s="574" t="str">
        <f>VLOOKUP($A34,'Pre-Assessment Estimator'!$A$10:$Z$226,I$2,FALSE)</f>
        <v>N/A</v>
      </c>
      <c r="J34" s="577" t="str">
        <f>IF(VLOOKUP($A34,'Pre-Assessment Estimator'!$A$10:$Z$226,J$2,FALSE)=0,"",VLOOKUP($A34,'Pre-Assessment Estimator'!$A$10:$Z$226,J$2,FALSE))</f>
        <v/>
      </c>
      <c r="K34" s="577" t="str">
        <f>IF(VLOOKUP($A34,'Pre-Assessment Estimator'!$A$10:$Z$226,K$2,FALSE)=0,"",VLOOKUP($A34,'Pre-Assessment Estimator'!$A$10:$Z$226,K$2,FALSE))</f>
        <v/>
      </c>
      <c r="L34" s="578" t="str">
        <f>IF(VLOOKUP($A34,'Pre-Assessment Estimator'!$A$10:$Z$226,L$2,FALSE)=0,"",VLOOKUP($A34,'Pre-Assessment Estimator'!$A$10:$Z$226,L$2,FALSE))</f>
        <v/>
      </c>
      <c r="M34" s="579"/>
      <c r="N34" s="580" t="str">
        <f>IF(VLOOKUP($A34,'Pre-Assessment Estimator'!$A$10:$Z$226,N$2,FALSE)=0,"",VLOOKUP($A34,'Pre-Assessment Estimator'!$A$10:$Z$226,N$2,FALSE))</f>
        <v/>
      </c>
      <c r="O34" s="575">
        <f>VLOOKUP($A34,'Pre-Assessment Estimator'!$A$10:$Z$226,O$2,FALSE)</f>
        <v>0</v>
      </c>
      <c r="P34" s="574" t="str">
        <f>VLOOKUP($A34,'Pre-Assessment Estimator'!$A$10:$Z$226,P$2,FALSE)</f>
        <v>N/A</v>
      </c>
      <c r="Q34" s="577" t="str">
        <f>IF(VLOOKUP($A34,'Pre-Assessment Estimator'!$A$10:$Z$226,Q$2,FALSE)=0,"",VLOOKUP($A34,'Pre-Assessment Estimator'!$A$10:$Z$226,Q$2,FALSE))</f>
        <v/>
      </c>
      <c r="R34" s="577" t="str">
        <f>IF(VLOOKUP($A34,'Pre-Assessment Estimator'!$A$10:$Z$226,R$2,FALSE)=0,"",VLOOKUP($A34,'Pre-Assessment Estimator'!$A$10:$Z$226,R$2,FALSE))</f>
        <v/>
      </c>
      <c r="S34" s="578" t="str">
        <f>IF(VLOOKUP($A34,'Pre-Assessment Estimator'!$A$10:$Z$226,S$2,FALSE)=0,"",VLOOKUP($A34,'Pre-Assessment Estimator'!$A$10:$Z$226,S$2,FALSE))</f>
        <v/>
      </c>
      <c r="T34" s="581"/>
      <c r="U34" s="580" t="str">
        <f>IF(VLOOKUP($A34,'Pre-Assessment Estimator'!$A$10:$Z$226,U$2,FALSE)=0,"",VLOOKUP($A34,'Pre-Assessment Estimator'!$A$10:$Z$226,U$2,FALSE))</f>
        <v/>
      </c>
      <c r="V34" s="575">
        <f>VLOOKUP($A34,'Pre-Assessment Estimator'!$A$10:$Z$226,V$2,FALSE)</f>
        <v>0</v>
      </c>
      <c r="W34" s="574" t="str">
        <f>VLOOKUP($A34,'Pre-Assessment Estimator'!$A$10:$Z$226,W$2,FALSE)</f>
        <v>N/A</v>
      </c>
      <c r="X34" s="577" t="str">
        <f>IF(VLOOKUP($A34,'Pre-Assessment Estimator'!$A$10:$Z$226,X$2,FALSE)=0,"",VLOOKUP($A34,'Pre-Assessment Estimator'!$A$10:$Z$226,X$2,FALSE))</f>
        <v/>
      </c>
      <c r="Y34" s="577" t="str">
        <f>IF(VLOOKUP($A34,'Pre-Assessment Estimator'!$A$10:$Z$226,Y$2,FALSE)=0,"",VLOOKUP($A34,'Pre-Assessment Estimator'!$A$10:$Z$226,Y$2,FALSE))</f>
        <v/>
      </c>
      <c r="Z34" s="370" t="str">
        <f>IF(VLOOKUP($A34,'Pre-Assessment Estimator'!$A$10:$Z$226,Z$2,FALSE)=0,"",VLOOKUP($A34,'Pre-Assessment Estimator'!$A$10:$Z$226,Z$2,FALSE))</f>
        <v/>
      </c>
      <c r="AA34" s="696">
        <v>25</v>
      </c>
      <c r="AB34" s="577"/>
      <c r="AF34" s="386">
        <f t="shared" si="0"/>
        <v>1</v>
      </c>
      <c r="AG34" s="414"/>
      <c r="AL34" s="413"/>
    </row>
    <row r="35" spans="1:42" ht="30" customHeight="1" thickBot="1" x14ac:dyDescent="0.3">
      <c r="A35" s="823">
        <v>26</v>
      </c>
      <c r="B35" s="1234" t="s">
        <v>62</v>
      </c>
      <c r="C35" s="1234"/>
      <c r="D35" s="1259"/>
      <c r="E35" s="1259" t="str">
        <f>VLOOKUP($A35,'Pre-Assessment Estimator'!$A$10:$Z$226,E$2,FALSE)</f>
        <v>Total performance management</v>
      </c>
      <c r="F35" s="582">
        <f>VLOOKUP($A35,'Pre-Assessment Estimator'!$A$10:$Z$226,F$2,FALSE)</f>
        <v>21</v>
      </c>
      <c r="G35" s="584" t="str">
        <f>IF(VLOOKUP($A35,'Pre-Assessment Estimator'!$A$10:$Z$226,G$2,FALSE)=0,"",VLOOKUP($A35,'Pre-Assessment Estimator'!$A$10:$Z$226,G$2,FALSE))</f>
        <v/>
      </c>
      <c r="H35" s="583">
        <f>VLOOKUP($A35,'Pre-Assessment Estimator'!$A$10:$Z$226,H$2,FALSE)</f>
        <v>0</v>
      </c>
      <c r="I35" s="582" t="str">
        <f>VLOOKUP($A35,'Pre-Assessment Estimator'!$A$10:$Z$226,I$2,FALSE)</f>
        <v>Credits achieved: 0</v>
      </c>
      <c r="J35" s="1202" t="str">
        <f>IF(VLOOKUP($A35,'Pre-Assessment Estimator'!$A$10:$Z$226,J$2,FALSE)=0,"",VLOOKUP($A35,'Pre-Assessment Estimator'!$A$10:$Z$226,J$2,FALSE))</f>
        <v/>
      </c>
      <c r="K35" s="1202" t="str">
        <f>IF(VLOOKUP($A35,'Pre-Assessment Estimator'!$A$10:$Z$226,K$2,FALSE)=0,"",VLOOKUP($A35,'Pre-Assessment Estimator'!$A$10:$Z$226,K$2,FALSE))</f>
        <v/>
      </c>
      <c r="L35" s="1221" t="str">
        <f>IF(VLOOKUP($A35,'Pre-Assessment Estimator'!$A$10:$Z$226,L$2,FALSE)=0,"",VLOOKUP($A35,'Pre-Assessment Estimator'!$A$10:$Z$226,L$2,FALSE))</f>
        <v/>
      </c>
      <c r="M35" s="1222"/>
      <c r="N35" s="584" t="str">
        <f>IF(VLOOKUP($A35,'Pre-Assessment Estimator'!$A$10:$Z$226,N$2,FALSE)=0,"",VLOOKUP($A35,'Pre-Assessment Estimator'!$A$10:$Z$226,N$2,FALSE))</f>
        <v/>
      </c>
      <c r="O35" s="583">
        <f>VLOOKUP($A35,'Pre-Assessment Estimator'!$A$10:$Z$226,O$2,FALSE)</f>
        <v>0</v>
      </c>
      <c r="P35" s="582" t="str">
        <f>VLOOKUP($A35,'Pre-Assessment Estimator'!$A$10:$Z$226,P$2,FALSE)</f>
        <v>Credits achieved: 0</v>
      </c>
      <c r="Q35" s="1202" t="str">
        <f>IF(VLOOKUP($A35,'Pre-Assessment Estimator'!$A$10:$Z$226,Q$2,FALSE)=0,"",VLOOKUP($A35,'Pre-Assessment Estimator'!$A$10:$Z$226,Q$2,FALSE))</f>
        <v/>
      </c>
      <c r="R35" s="1202" t="str">
        <f>IF(VLOOKUP($A35,'Pre-Assessment Estimator'!$A$10:$Z$226,R$2,FALSE)=0,"",VLOOKUP($A35,'Pre-Assessment Estimator'!$A$10:$Z$226,R$2,FALSE))</f>
        <v/>
      </c>
      <c r="S35" s="1221" t="str">
        <f>IF(VLOOKUP($A35,'Pre-Assessment Estimator'!$A$10:$Z$226,S$2,FALSE)=0,"",VLOOKUP($A35,'Pre-Assessment Estimator'!$A$10:$Z$226,S$2,FALSE))</f>
        <v/>
      </c>
      <c r="T35" s="1223"/>
      <c r="U35" s="584" t="str">
        <f>IF(VLOOKUP($A35,'Pre-Assessment Estimator'!$A$10:$Z$226,U$2,FALSE)=0,"",VLOOKUP($A35,'Pre-Assessment Estimator'!$A$10:$Z$226,U$2,FALSE))</f>
        <v/>
      </c>
      <c r="V35" s="583">
        <f>VLOOKUP($A35,'Pre-Assessment Estimator'!$A$10:$Z$226,V$2,FALSE)</f>
        <v>0</v>
      </c>
      <c r="W35" s="582" t="str">
        <f>VLOOKUP($A35,'Pre-Assessment Estimator'!$A$10:$Z$226,W$2,FALSE)</f>
        <v>Credits achieved: 0</v>
      </c>
      <c r="X35" s="1202" t="str">
        <f>IF(VLOOKUP($A35,'Pre-Assessment Estimator'!$A$10:$Z$226,X$2,FALSE)=0,"",VLOOKUP($A35,'Pre-Assessment Estimator'!$A$10:$Z$226,X$2,FALSE))</f>
        <v/>
      </c>
      <c r="Y35" s="1202" t="str">
        <f>IF(VLOOKUP($A35,'Pre-Assessment Estimator'!$A$10:$Z$226,Y$2,FALSE)=0,"",VLOOKUP($A35,'Pre-Assessment Estimator'!$A$10:$Z$226,Y$2,FALSE))</f>
        <v/>
      </c>
      <c r="Z35" s="1224" t="str">
        <f>IF(VLOOKUP($A35,'Pre-Assessment Estimator'!$A$10:$Z$226,Z$2,FALSE)=0,"",VLOOKUP($A35,'Pre-Assessment Estimator'!$A$10:$Z$226,Z$2,FALSE))</f>
        <v/>
      </c>
      <c r="AA35" s="696">
        <v>26</v>
      </c>
      <c r="AB35" s="577" t="str">
        <f>IF(VLOOKUP($A35,'Pre-Assessment Estimator'!$A$10:$AB$226,AB$2,FALSE)=0,"",VLOOKUP($A35,'Pre-Assessment Estimator'!$A$10:$AB$226,AB$2,FALSE))</f>
        <v/>
      </c>
      <c r="AF35" s="386">
        <f t="shared" si="0"/>
        <v>1</v>
      </c>
      <c r="AG35" s="414"/>
      <c r="AL35" s="413"/>
    </row>
    <row r="36" spans="1:42" x14ac:dyDescent="0.25">
      <c r="A36" s="823">
        <v>27</v>
      </c>
      <c r="B36" s="1234" t="s">
        <v>62</v>
      </c>
      <c r="C36" s="1234"/>
      <c r="D36" s="585"/>
      <c r="E36" s="585"/>
      <c r="F36" s="586"/>
      <c r="G36" s="586"/>
      <c r="H36" s="586"/>
      <c r="I36" s="586"/>
      <c r="J36" s="585"/>
      <c r="K36" s="586"/>
      <c r="L36" s="585"/>
      <c r="M36" s="579"/>
      <c r="N36" s="586"/>
      <c r="O36" s="586"/>
      <c r="P36" s="586"/>
      <c r="Q36" s="585"/>
      <c r="R36" s="586"/>
      <c r="S36" s="585"/>
      <c r="T36" s="581"/>
      <c r="U36" s="586"/>
      <c r="V36" s="586"/>
      <c r="W36" s="586"/>
      <c r="X36" s="585"/>
      <c r="Y36" s="586"/>
      <c r="Z36" s="343"/>
      <c r="AA36" s="696">
        <v>27</v>
      </c>
      <c r="AB36" s="585"/>
      <c r="AC36" s="389"/>
      <c r="AD36" s="389"/>
      <c r="AE36" s="389"/>
      <c r="AF36" s="386">
        <f t="shared" si="0"/>
        <v>1</v>
      </c>
      <c r="AL36" s="413"/>
      <c r="AN36" s="386"/>
      <c r="AP36" s="386"/>
    </row>
    <row r="37" spans="1:42" ht="18.75" x14ac:dyDescent="0.25">
      <c r="A37" s="823">
        <v>28</v>
      </c>
      <c r="B37" s="1234" t="s">
        <v>65</v>
      </c>
      <c r="C37" s="1234"/>
      <c r="D37" s="587"/>
      <c r="E37" s="587" t="s">
        <v>65</v>
      </c>
      <c r="F37" s="570"/>
      <c r="G37" s="570"/>
      <c r="H37" s="570"/>
      <c r="I37" s="570"/>
      <c r="J37" s="571" t="str">
        <f>IF(VLOOKUP($A37,'Pre-Assessment Estimator'!$A$10:$Z$226,J$2,FALSE)=0,"",VLOOKUP($A37,'Pre-Assessment Estimator'!$A$10:$Z$226,J$2,FALSE))</f>
        <v/>
      </c>
      <c r="K37" s="570" t="str">
        <f>IF(VLOOKUP($A37,'Pre-Assessment Estimator'!$A$10:$Z$226,K$2,FALSE)=0,"",VLOOKUP($A37,'Pre-Assessment Estimator'!$A$10:$Z$226,K$2,FALSE))</f>
        <v/>
      </c>
      <c r="L37" s="571" t="str">
        <f>IF(VLOOKUP($A37,'Pre-Assessment Estimator'!$A$10:$Z$226,L$2,FALSE)=0,"",VLOOKUP($A37,'Pre-Assessment Estimator'!$A$10:$Z$226,L$2,FALSE))</f>
        <v/>
      </c>
      <c r="M37" s="579"/>
      <c r="N37" s="570" t="str">
        <f>IF(VLOOKUP($A37,'Pre-Assessment Estimator'!$A$10:$Z$226,N$2,FALSE)=0,"",VLOOKUP($A37,'Pre-Assessment Estimator'!$A$10:$Z$226,N$2,FALSE))</f>
        <v/>
      </c>
      <c r="O37" s="570"/>
      <c r="P37" s="570"/>
      <c r="Q37" s="571" t="str">
        <f>IF(VLOOKUP($A37,'Pre-Assessment Estimator'!$A$10:$Z$226,Q$2,FALSE)=0,"",VLOOKUP($A37,'Pre-Assessment Estimator'!$A$10:$Z$226,Q$2,FALSE))</f>
        <v/>
      </c>
      <c r="R37" s="570" t="str">
        <f>IF(VLOOKUP($A37,'Pre-Assessment Estimator'!$A$10:$Z$226,R$2,FALSE)=0,"",VLOOKUP($A37,'Pre-Assessment Estimator'!$A$10:$Z$226,R$2,FALSE))</f>
        <v/>
      </c>
      <c r="S37" s="571" t="str">
        <f>IF(VLOOKUP($A37,'Pre-Assessment Estimator'!$A$10:$Z$226,S$2,FALSE)=0,"",VLOOKUP($A37,'Pre-Assessment Estimator'!$A$10:$Z$226,S$2,FALSE))</f>
        <v/>
      </c>
      <c r="T37" s="581"/>
      <c r="U37" s="570" t="str">
        <f>IF(VLOOKUP($A37,'Pre-Assessment Estimator'!$A$10:$Z$226,U$2,FALSE)=0,"",VLOOKUP($A37,'Pre-Assessment Estimator'!$A$10:$Z$226,U$2,FALSE))</f>
        <v/>
      </c>
      <c r="V37" s="570"/>
      <c r="W37" s="570"/>
      <c r="X37" s="571" t="str">
        <f>IF(VLOOKUP($A37,'Pre-Assessment Estimator'!$A$10:$Z$226,X$2,FALSE)=0,"",VLOOKUP($A37,'Pre-Assessment Estimator'!$A$10:$Z$226,X$2,FALSE))</f>
        <v/>
      </c>
      <c r="Y37" s="570" t="str">
        <f>IF(VLOOKUP($A37,'Pre-Assessment Estimator'!$A$10:$Z$226,Y$2,FALSE)=0,"",VLOOKUP($A37,'Pre-Assessment Estimator'!$A$10:$Z$226,Y$2,FALSE))</f>
        <v/>
      </c>
      <c r="Z37" s="411" t="str">
        <f>IF(VLOOKUP($A37,'Pre-Assessment Estimator'!$A$10:$Z$226,Z$2,FALSE)=0,"",VLOOKUP($A37,'Pre-Assessment Estimator'!$A$10:$Z$226,Z$2,FALSE))</f>
        <v/>
      </c>
      <c r="AA37" s="696">
        <v>28</v>
      </c>
      <c r="AB37" s="697"/>
      <c r="AF37" s="386">
        <f t="shared" si="0"/>
        <v>1</v>
      </c>
      <c r="AL37" s="413"/>
      <c r="AN37" s="386"/>
      <c r="AP37" s="386"/>
    </row>
    <row r="38" spans="1:42" x14ac:dyDescent="0.25">
      <c r="A38" s="823">
        <v>29</v>
      </c>
      <c r="B38" s="1234" t="s">
        <v>65</v>
      </c>
      <c r="C38" s="1234"/>
      <c r="D38" s="1256" t="str">
        <f>VLOOKUP($A38,'Pre-Assessment Estimator'!$A$10:$Z$226,D$2,FALSE)</f>
        <v>Hea 01</v>
      </c>
      <c r="E38" s="1256" t="str">
        <f>VLOOKUP($A38,'Pre-Assessment Estimator'!$A$10:$Z$226,E$2,FALSE)</f>
        <v>Hea 01 Visual comfort</v>
      </c>
      <c r="F38" s="574">
        <f>VLOOKUP($A38,'Pre-Assessment Estimator'!$A$10:$Z$226,F$2,FALSE)</f>
        <v>7</v>
      </c>
      <c r="G38" s="580" t="str">
        <f>IF(VLOOKUP($A38,'Pre-Assessment Estimator'!$A$10:$Z$226,G$2,FALSE)=0,"",VLOOKUP($A38,'Pre-Assessment Estimator'!$A$10:$Z$226,G$2,FALSE))</f>
        <v/>
      </c>
      <c r="H38" s="1220" t="str">
        <f>VLOOKUP($A38,'Pre-Assessment Estimator'!$A$10:$Z$226,H$2,FALSE)</f>
        <v>0 c. 0 %</v>
      </c>
      <c r="I38" s="576" t="str">
        <f>VLOOKUP($A38,'Pre-Assessment Estimator'!$A$10:$Z$226,I$2,FALSE)</f>
        <v>N/A</v>
      </c>
      <c r="J38" s="577" t="str">
        <f>IF(VLOOKUP($A38,'Pre-Assessment Estimator'!$A$10:$Z$226,J$2,FALSE)=0,"",VLOOKUP($A38,'Pre-Assessment Estimator'!$A$10:$Z$226,J$2,FALSE))</f>
        <v/>
      </c>
      <c r="K38" s="577" t="str">
        <f>IF(VLOOKUP($A38,'Pre-Assessment Estimator'!$A$10:$Z$226,K$2,FALSE)=0,"",VLOOKUP($A38,'Pre-Assessment Estimator'!$A$10:$Z$226,K$2,FALSE))</f>
        <v/>
      </c>
      <c r="L38" s="578" t="str">
        <f>IF(VLOOKUP($A38,'Pre-Assessment Estimator'!$A$10:$Z$226,L$2,FALSE)=0,"",VLOOKUP($A38,'Pre-Assessment Estimator'!$A$10:$Z$226,L$2,FALSE))</f>
        <v/>
      </c>
      <c r="M38" s="579"/>
      <c r="N38" s="580" t="str">
        <f>IF(VLOOKUP($A38,'Pre-Assessment Estimator'!$A$10:$Z$226,N$2,FALSE)=0,"",VLOOKUP($A38,'Pre-Assessment Estimator'!$A$10:$Z$226,N$2,FALSE))</f>
        <v/>
      </c>
      <c r="O38" s="575" t="str">
        <f>VLOOKUP($A38,'Pre-Assessment Estimator'!$A$10:$Z$226,O$2,FALSE)</f>
        <v>0 c. 0 %</v>
      </c>
      <c r="P38" s="574" t="str">
        <f>VLOOKUP($A38,'Pre-Assessment Estimator'!$A$10:$Z$226,P$2,FALSE)</f>
        <v>N/A</v>
      </c>
      <c r="Q38" s="577" t="str">
        <f>IF(VLOOKUP($A38,'Pre-Assessment Estimator'!$A$10:$Z$226,Q$2,FALSE)=0,"",VLOOKUP($A38,'Pre-Assessment Estimator'!$A$10:$Z$226,Q$2,FALSE))</f>
        <v/>
      </c>
      <c r="R38" s="577" t="str">
        <f>IF(VLOOKUP($A38,'Pre-Assessment Estimator'!$A$10:$Z$226,R$2,FALSE)=0,"",VLOOKUP($A38,'Pre-Assessment Estimator'!$A$10:$Z$226,R$2,FALSE))</f>
        <v/>
      </c>
      <c r="S38" s="578" t="str">
        <f>IF(VLOOKUP($A38,'Pre-Assessment Estimator'!$A$10:$Z$226,S$2,FALSE)=0,"",VLOOKUP($A38,'Pre-Assessment Estimator'!$A$10:$Z$226,S$2,FALSE))</f>
        <v/>
      </c>
      <c r="T38" s="581"/>
      <c r="U38" s="580" t="str">
        <f>IF(VLOOKUP($A38,'Pre-Assessment Estimator'!$A$10:$Z$226,U$2,FALSE)=0,"",VLOOKUP($A38,'Pre-Assessment Estimator'!$A$10:$Z$226,U$2,FALSE))</f>
        <v/>
      </c>
      <c r="V38" s="575" t="str">
        <f>VLOOKUP($A38,'Pre-Assessment Estimator'!$A$10:$Z$226,V$2,FALSE)</f>
        <v>0 c. 0 %</v>
      </c>
      <c r="W38" s="574" t="str">
        <f>VLOOKUP($A38,'Pre-Assessment Estimator'!$A$10:$Z$226,W$2,FALSE)</f>
        <v>N/A</v>
      </c>
      <c r="X38" s="577" t="str">
        <f>IF(VLOOKUP($A38,'Pre-Assessment Estimator'!$A$10:$Z$226,X$2,FALSE)=0,"",VLOOKUP($A38,'Pre-Assessment Estimator'!$A$10:$Z$226,X$2,FALSE))</f>
        <v/>
      </c>
      <c r="Y38" s="577" t="str">
        <f>IF(VLOOKUP($A38,'Pre-Assessment Estimator'!$A$10:$Z$226,Y$2,FALSE)=0,"",VLOOKUP($A38,'Pre-Assessment Estimator'!$A$10:$Z$226,Y$2,FALSE))</f>
        <v/>
      </c>
      <c r="Z38" s="370" t="str">
        <f>IF(VLOOKUP($A38,'Pre-Assessment Estimator'!$A$10:$Z$226,Z$2,FALSE)=0,"",VLOOKUP($A38,'Pre-Assessment Estimator'!$A$10:$Z$226,Z$2,FALSE))</f>
        <v/>
      </c>
      <c r="AA38" s="696">
        <v>29</v>
      </c>
      <c r="AB38" s="577" t="str">
        <f>IF(VLOOKUP($A38,'Pre-Assessment Estimator'!$A$10:$AB$226,AB$2,FALSE)=0,"",VLOOKUP($A38,'Pre-Assessment Estimator'!$A$10:$AB$226,AB$2,FALSE))</f>
        <v/>
      </c>
      <c r="AF38" s="386">
        <f t="shared" si="0"/>
        <v>1</v>
      </c>
      <c r="AN38" s="386"/>
      <c r="AP38" s="386"/>
    </row>
    <row r="39" spans="1:42" x14ac:dyDescent="0.25">
      <c r="A39" s="823">
        <v>30</v>
      </c>
      <c r="B39" s="1234" t="s">
        <v>65</v>
      </c>
      <c r="C39" s="1234"/>
      <c r="D39" s="1257" t="str">
        <f>VLOOKUP($A39,'Pre-Assessment Estimator'!$A$10:$Z$226,D$2,FALSE)</f>
        <v>Hea 01</v>
      </c>
      <c r="E39" s="1258" t="str">
        <f>VLOOKUP($A39,'Pre-Assessment Estimator'!$A$10:$Z$226,E$2,FALSE)</f>
        <v>Pre-requisite: limitation of light flicker and stroboscopic effect</v>
      </c>
      <c r="F39" s="574" t="str">
        <f>VLOOKUP($A39,'Pre-Assessment Estimator'!$A$10:$Z$226,F$2,FALSE)</f>
        <v>Yes/No</v>
      </c>
      <c r="G39" s="580" t="str">
        <f>IF(VLOOKUP($A39,'Pre-Assessment Estimator'!$A$10:$Z$226,G$2,FALSE)=0,"",VLOOKUP($A39,'Pre-Assessment Estimator'!$A$10:$Z$226,G$2,FALSE))</f>
        <v/>
      </c>
      <c r="H39" s="1220" t="str">
        <f>VLOOKUP($A39,'Pre-Assessment Estimator'!$A$10:$Z$226,H$2,FALSE)</f>
        <v>-</v>
      </c>
      <c r="I39" s="576" t="str">
        <f>VLOOKUP($A39,'Pre-Assessment Estimator'!$A$10:$Z$226,I$2,FALSE)</f>
        <v>Unclassified</v>
      </c>
      <c r="J39" s="577" t="str">
        <f>IF(VLOOKUP($A39,'Pre-Assessment Estimator'!$A$10:$Z$226,J$2,FALSE)=0,"",VLOOKUP($A39,'Pre-Assessment Estimator'!$A$10:$Z$226,J$2,FALSE))</f>
        <v/>
      </c>
      <c r="K39" s="577" t="str">
        <f>IF(VLOOKUP($A39,'Pre-Assessment Estimator'!$A$10:$Z$226,K$2,FALSE)=0,"",VLOOKUP($A39,'Pre-Assessment Estimator'!$A$10:$Z$226,K$2,FALSE))</f>
        <v/>
      </c>
      <c r="L39" s="578" t="str">
        <f>IF(VLOOKUP($A39,'Pre-Assessment Estimator'!$A$10:$Z$226,L$2,FALSE)=0,"",VLOOKUP($A39,'Pre-Assessment Estimator'!$A$10:$Z$226,L$2,FALSE))</f>
        <v/>
      </c>
      <c r="M39" s="579"/>
      <c r="N39" s="580" t="str">
        <f>IF(VLOOKUP($A39,'Pre-Assessment Estimator'!$A$10:$Z$226,N$2,FALSE)=0,"",VLOOKUP($A39,'Pre-Assessment Estimator'!$A$10:$Z$226,N$2,FALSE))</f>
        <v/>
      </c>
      <c r="O39" s="575" t="str">
        <f>VLOOKUP($A39,'Pre-Assessment Estimator'!$A$10:$Z$226,O$2,FALSE)</f>
        <v>-</v>
      </c>
      <c r="P39" s="574" t="str">
        <f>VLOOKUP($A39,'Pre-Assessment Estimator'!$A$10:$Z$226,P$2,FALSE)</f>
        <v>Unclassified</v>
      </c>
      <c r="Q39" s="577" t="str">
        <f>IF(VLOOKUP($A39,'Pre-Assessment Estimator'!$A$10:$Z$226,Q$2,FALSE)=0,"",VLOOKUP($A39,'Pre-Assessment Estimator'!$A$10:$Z$226,Q$2,FALSE))</f>
        <v/>
      </c>
      <c r="R39" s="577" t="str">
        <f>IF(VLOOKUP($A39,'Pre-Assessment Estimator'!$A$10:$Z$226,R$2,FALSE)=0,"",VLOOKUP($A39,'Pre-Assessment Estimator'!$A$10:$Z$226,R$2,FALSE))</f>
        <v/>
      </c>
      <c r="S39" s="578" t="str">
        <f>IF(VLOOKUP($A39,'Pre-Assessment Estimator'!$A$10:$Z$226,S$2,FALSE)=0,"",VLOOKUP($A39,'Pre-Assessment Estimator'!$A$10:$Z$226,S$2,FALSE))</f>
        <v/>
      </c>
      <c r="T39" s="581"/>
      <c r="U39" s="580" t="str">
        <f>IF(VLOOKUP($A39,'Pre-Assessment Estimator'!$A$10:$Z$226,U$2,FALSE)=0,"",VLOOKUP($A39,'Pre-Assessment Estimator'!$A$10:$Z$226,U$2,FALSE))</f>
        <v/>
      </c>
      <c r="V39" s="575" t="str">
        <f>VLOOKUP($A39,'Pre-Assessment Estimator'!$A$10:$Z$226,V$2,FALSE)</f>
        <v>-</v>
      </c>
      <c r="W39" s="574" t="str">
        <f>VLOOKUP($A39,'Pre-Assessment Estimator'!$A$10:$Z$226,W$2,FALSE)</f>
        <v>Unclassified</v>
      </c>
      <c r="X39" s="577" t="str">
        <f>IF(VLOOKUP($A39,'Pre-Assessment Estimator'!$A$10:$Z$226,X$2,FALSE)=0,"",VLOOKUP($A39,'Pre-Assessment Estimator'!$A$10:$Z$226,X$2,FALSE))</f>
        <v/>
      </c>
      <c r="Y39" s="577" t="str">
        <f>IF(VLOOKUP($A39,'Pre-Assessment Estimator'!$A$10:$Z$226,Y$2,FALSE)=0,"",VLOOKUP($A39,'Pre-Assessment Estimator'!$A$10:$Z$226,Y$2,FALSE))</f>
        <v/>
      </c>
      <c r="Z39" s="370" t="str">
        <f>IF(VLOOKUP($A39,'Pre-Assessment Estimator'!$A$10:$Z$226,Z$2,FALSE)=0,"",VLOOKUP($A39,'Pre-Assessment Estimator'!$A$10:$Z$226,Z$2,FALSE))</f>
        <v/>
      </c>
      <c r="AA39" s="696">
        <v>30</v>
      </c>
      <c r="AB39" s="577" t="str">
        <f>IF(VLOOKUP($A39,'Pre-Assessment Estimator'!$A$10:$AB$226,AB$2,FALSE)=0,"",VLOOKUP($A39,'Pre-Assessment Estimator'!$A$10:$AB$226,AB$2,FALSE))</f>
        <v/>
      </c>
      <c r="AF39" s="386">
        <f t="shared" si="0"/>
        <v>1</v>
      </c>
      <c r="AN39" s="386"/>
      <c r="AP39" s="386"/>
    </row>
    <row r="40" spans="1:42" x14ac:dyDescent="0.25">
      <c r="A40" s="823">
        <v>31</v>
      </c>
      <c r="B40" s="1234" t="s">
        <v>65</v>
      </c>
      <c r="C40" s="1234"/>
      <c r="D40" s="1257" t="str">
        <f>VLOOKUP($A40,'Pre-Assessment Estimator'!$A$10:$Z$226,D$2,FALSE)</f>
        <v>Hea 01</v>
      </c>
      <c r="E40" s="1258" t="str">
        <f>VLOOKUP($A40,'Pre-Assessment Estimator'!$A$10:$Z$226,E$2,FALSE)</f>
        <v>Pre-requisite: daylight assessments</v>
      </c>
      <c r="F40" s="574" t="str">
        <f>VLOOKUP($A40,'Pre-Assessment Estimator'!$A$10:$Z$226,F$2,FALSE)</f>
        <v>Yes/No</v>
      </c>
      <c r="G40" s="580" t="str">
        <f>IF(VLOOKUP($A40,'Pre-Assessment Estimator'!$A$10:$Z$226,G$2,FALSE)=0,"",VLOOKUP($A40,'Pre-Assessment Estimator'!$A$10:$Z$226,G$2,FALSE))</f>
        <v/>
      </c>
      <c r="H40" s="1220" t="str">
        <f>VLOOKUP($A40,'Pre-Assessment Estimator'!$A$10:$Z$226,H$2,FALSE)</f>
        <v>-</v>
      </c>
      <c r="I40" s="576" t="str">
        <f>VLOOKUP($A40,'Pre-Assessment Estimator'!$A$10:$Z$226,I$2,FALSE)</f>
        <v>Unclassified</v>
      </c>
      <c r="J40" s="577" t="str">
        <f>IF(VLOOKUP($A40,'Pre-Assessment Estimator'!$A$10:$Z$226,J$2,FALSE)=0,"",VLOOKUP($A40,'Pre-Assessment Estimator'!$A$10:$Z$226,J$2,FALSE))</f>
        <v/>
      </c>
      <c r="K40" s="577" t="str">
        <f>IF(VLOOKUP($A40,'Pre-Assessment Estimator'!$A$10:$Z$226,K$2,FALSE)=0,"",VLOOKUP($A40,'Pre-Assessment Estimator'!$A$10:$Z$226,K$2,FALSE))</f>
        <v/>
      </c>
      <c r="L40" s="578" t="str">
        <f>IF(VLOOKUP($A40,'Pre-Assessment Estimator'!$A$10:$Z$226,L$2,FALSE)=0,"",VLOOKUP($A40,'Pre-Assessment Estimator'!$A$10:$Z$226,L$2,FALSE))</f>
        <v/>
      </c>
      <c r="M40" s="579"/>
      <c r="N40" s="580" t="str">
        <f>IF(VLOOKUP($A40,'Pre-Assessment Estimator'!$A$10:$Z$226,N$2,FALSE)=0,"",VLOOKUP($A40,'Pre-Assessment Estimator'!$A$10:$Z$226,N$2,FALSE))</f>
        <v/>
      </c>
      <c r="O40" s="575" t="str">
        <f>VLOOKUP($A40,'Pre-Assessment Estimator'!$A$10:$Z$226,O$2,FALSE)</f>
        <v>-</v>
      </c>
      <c r="P40" s="574" t="str">
        <f>VLOOKUP($A40,'Pre-Assessment Estimator'!$A$10:$Z$226,P$2,FALSE)</f>
        <v>Unclassified</v>
      </c>
      <c r="Q40" s="577" t="str">
        <f>IF(VLOOKUP($A40,'Pre-Assessment Estimator'!$A$10:$Z$226,Q$2,FALSE)=0,"",VLOOKUP($A40,'Pre-Assessment Estimator'!$A$10:$Z$226,Q$2,FALSE))</f>
        <v/>
      </c>
      <c r="R40" s="577" t="str">
        <f>IF(VLOOKUP($A40,'Pre-Assessment Estimator'!$A$10:$Z$226,R$2,FALSE)=0,"",VLOOKUP($A40,'Pre-Assessment Estimator'!$A$10:$Z$226,R$2,FALSE))</f>
        <v/>
      </c>
      <c r="S40" s="578" t="str">
        <f>IF(VLOOKUP($A40,'Pre-Assessment Estimator'!$A$10:$Z$226,S$2,FALSE)=0,"",VLOOKUP($A40,'Pre-Assessment Estimator'!$A$10:$Z$226,S$2,FALSE))</f>
        <v/>
      </c>
      <c r="T40" s="581"/>
      <c r="U40" s="580" t="str">
        <f>IF(VLOOKUP($A40,'Pre-Assessment Estimator'!$A$10:$Z$226,U$2,FALSE)=0,"",VLOOKUP($A40,'Pre-Assessment Estimator'!$A$10:$Z$226,U$2,FALSE))</f>
        <v/>
      </c>
      <c r="V40" s="575" t="str">
        <f>VLOOKUP($A40,'Pre-Assessment Estimator'!$A$10:$Z$226,V$2,FALSE)</f>
        <v>-</v>
      </c>
      <c r="W40" s="574" t="str">
        <f>VLOOKUP($A40,'Pre-Assessment Estimator'!$A$10:$Z$226,W$2,FALSE)</f>
        <v>Unclassified</v>
      </c>
      <c r="X40" s="577" t="str">
        <f>IF(VLOOKUP($A40,'Pre-Assessment Estimator'!$A$10:$Z$226,X$2,FALSE)=0,"",VLOOKUP($A40,'Pre-Assessment Estimator'!$A$10:$Z$226,X$2,FALSE))</f>
        <v/>
      </c>
      <c r="Y40" s="577" t="str">
        <f>IF(VLOOKUP($A40,'Pre-Assessment Estimator'!$A$10:$Z$226,Y$2,FALSE)=0,"",VLOOKUP($A40,'Pre-Assessment Estimator'!$A$10:$Z$226,Y$2,FALSE))</f>
        <v/>
      </c>
      <c r="Z40" s="370" t="str">
        <f>IF(VLOOKUP($A40,'Pre-Assessment Estimator'!$A$10:$Z$226,Z$2,FALSE)=0,"",VLOOKUP($A40,'Pre-Assessment Estimator'!$A$10:$Z$226,Z$2,FALSE))</f>
        <v/>
      </c>
      <c r="AA40" s="696">
        <v>30</v>
      </c>
      <c r="AB40" s="577" t="str">
        <f>IF(VLOOKUP($A40,'Pre-Assessment Estimator'!$A$10:$AB$226,AB$2,FALSE)=0,"",VLOOKUP($A40,'Pre-Assessment Estimator'!$A$10:$AB$226,AB$2,FALSE))</f>
        <v/>
      </c>
      <c r="AF40" s="386">
        <f t="shared" ref="AF40" si="1">IF(F40="",1,IF(F40=0,2,1))</f>
        <v>1</v>
      </c>
      <c r="AN40" s="386"/>
      <c r="AP40" s="386"/>
    </row>
    <row r="41" spans="1:42" x14ac:dyDescent="0.25">
      <c r="A41" s="823">
        <v>32</v>
      </c>
      <c r="B41" s="1234" t="s">
        <v>65</v>
      </c>
      <c r="C41" s="1234"/>
      <c r="D41" s="1257" t="str">
        <f>VLOOKUP($A41,'Pre-Assessment Estimator'!$A$10:$Z$226,D$2,FALSE)</f>
        <v>Hea 01</v>
      </c>
      <c r="E41" s="1258" t="str">
        <f>VLOOKUP($A41,'Pre-Assessment Estimator'!$A$10:$Z$226,E$2,FALSE)</f>
        <v>Daylighting</v>
      </c>
      <c r="F41" s="574">
        <f>VLOOKUP($A41,'Pre-Assessment Estimator'!$A$10:$Z$226,F$2,FALSE)</f>
        <v>3</v>
      </c>
      <c r="G41" s="580" t="str">
        <f>IF(VLOOKUP($A41,'Pre-Assessment Estimator'!$A$10:$Z$226,G$2,FALSE)=0,"",VLOOKUP($A41,'Pre-Assessment Estimator'!$A$10:$Z$226,G$2,FALSE))</f>
        <v/>
      </c>
      <c r="H41" s="1220">
        <f>VLOOKUP($A41,'Pre-Assessment Estimator'!$A$10:$Z$226,H$2,FALSE)</f>
        <v>0</v>
      </c>
      <c r="I41" s="576" t="str">
        <f>VLOOKUP($A41,'Pre-Assessment Estimator'!$A$10:$Z$226,I$2,FALSE)</f>
        <v>N/A</v>
      </c>
      <c r="J41" s="577" t="str">
        <f>IF(VLOOKUP($A41,'Pre-Assessment Estimator'!$A$10:$Z$226,J$2,FALSE)=0,"",VLOOKUP($A41,'Pre-Assessment Estimator'!$A$10:$Z$226,J$2,FALSE))</f>
        <v/>
      </c>
      <c r="K41" s="577" t="str">
        <f>IF(VLOOKUP($A41,'Pre-Assessment Estimator'!$A$10:$Z$226,K$2,FALSE)=0,"",VLOOKUP($A41,'Pre-Assessment Estimator'!$A$10:$Z$226,K$2,FALSE))</f>
        <v/>
      </c>
      <c r="L41" s="578" t="str">
        <f>IF(VLOOKUP($A41,'Pre-Assessment Estimator'!$A$10:$Z$226,L$2,FALSE)=0,"",VLOOKUP($A41,'Pre-Assessment Estimator'!$A$10:$Z$226,L$2,FALSE))</f>
        <v/>
      </c>
      <c r="M41" s="579"/>
      <c r="N41" s="580" t="str">
        <f>IF(VLOOKUP($A41,'Pre-Assessment Estimator'!$A$10:$Z$226,N$2,FALSE)=0,"",VLOOKUP($A41,'Pre-Assessment Estimator'!$A$10:$Z$226,N$2,FALSE))</f>
        <v/>
      </c>
      <c r="O41" s="575">
        <f>VLOOKUP($A41,'Pre-Assessment Estimator'!$A$10:$Z$226,O$2,FALSE)</f>
        <v>0</v>
      </c>
      <c r="P41" s="574" t="str">
        <f>VLOOKUP($A41,'Pre-Assessment Estimator'!$A$10:$Z$226,P$2,FALSE)</f>
        <v>N/A</v>
      </c>
      <c r="Q41" s="577" t="str">
        <f>IF(VLOOKUP($A41,'Pre-Assessment Estimator'!$A$10:$Z$226,Q$2,FALSE)=0,"",VLOOKUP($A41,'Pre-Assessment Estimator'!$A$10:$Z$226,Q$2,FALSE))</f>
        <v/>
      </c>
      <c r="R41" s="577" t="str">
        <f>IF(VLOOKUP($A41,'Pre-Assessment Estimator'!$A$10:$Z$226,R$2,FALSE)=0,"",VLOOKUP($A41,'Pre-Assessment Estimator'!$A$10:$Z$226,R$2,FALSE))</f>
        <v/>
      </c>
      <c r="S41" s="578" t="str">
        <f>IF(VLOOKUP($A41,'Pre-Assessment Estimator'!$A$10:$Z$226,S$2,FALSE)=0,"",VLOOKUP($A41,'Pre-Assessment Estimator'!$A$10:$Z$226,S$2,FALSE))</f>
        <v/>
      </c>
      <c r="T41" s="581"/>
      <c r="U41" s="580" t="str">
        <f>IF(VLOOKUP($A41,'Pre-Assessment Estimator'!$A$10:$Z$226,U$2,FALSE)=0,"",VLOOKUP($A41,'Pre-Assessment Estimator'!$A$10:$Z$226,U$2,FALSE))</f>
        <v/>
      </c>
      <c r="V41" s="575">
        <f>VLOOKUP($A41,'Pre-Assessment Estimator'!$A$10:$Z$226,V$2,FALSE)</f>
        <v>0</v>
      </c>
      <c r="W41" s="574" t="str">
        <f>VLOOKUP($A41,'Pre-Assessment Estimator'!$A$10:$Z$226,W$2,FALSE)</f>
        <v>N/A</v>
      </c>
      <c r="X41" s="577" t="str">
        <f>IF(VLOOKUP($A41,'Pre-Assessment Estimator'!$A$10:$Z$226,X$2,FALSE)=0,"",VLOOKUP($A41,'Pre-Assessment Estimator'!$A$10:$Z$226,X$2,FALSE))</f>
        <v/>
      </c>
      <c r="Y41" s="577" t="str">
        <f>IF(VLOOKUP($A41,'Pre-Assessment Estimator'!$A$10:$Z$226,Y$2,FALSE)=0,"",VLOOKUP($A41,'Pre-Assessment Estimator'!$A$10:$Z$226,Y$2,FALSE))</f>
        <v/>
      </c>
      <c r="Z41" s="370" t="str">
        <f>IF(VLOOKUP($A41,'Pre-Assessment Estimator'!$A$10:$Z$226,Z$2,FALSE)=0,"",VLOOKUP($A41,'Pre-Assessment Estimator'!$A$10:$Z$226,Z$2,FALSE))</f>
        <v/>
      </c>
      <c r="AA41" s="696">
        <v>31</v>
      </c>
      <c r="AB41" s="577" t="str">
        <f>IF(VLOOKUP($A41,'Pre-Assessment Estimator'!$A$10:$AB$226,AB$2,FALSE)=0,"",VLOOKUP($A41,'Pre-Assessment Estimator'!$A$10:$AB$226,AB$2,FALSE))</f>
        <v/>
      </c>
      <c r="AF41" s="386">
        <f t="shared" si="0"/>
        <v>1</v>
      </c>
      <c r="AN41" s="386"/>
      <c r="AO41" s="386"/>
      <c r="AP41" s="386"/>
    </row>
    <row r="42" spans="1:42" x14ac:dyDescent="0.25">
      <c r="A42" s="823">
        <v>33</v>
      </c>
      <c r="B42" s="1234" t="s">
        <v>65</v>
      </c>
      <c r="C42" s="1234"/>
      <c r="D42" s="1257" t="str">
        <f>VLOOKUP($A42,'Pre-Assessment Estimator'!$A$10:$Z$226,D$2,FALSE)</f>
        <v>Hea 01</v>
      </c>
      <c r="E42" s="1258" t="str">
        <f>VLOOKUP($A42,'Pre-Assessment Estimator'!$A$10:$Z$226,E$2,FALSE)</f>
        <v xml:space="preserve">Control of glare from sunlight </v>
      </c>
      <c r="F42" s="574">
        <f>VLOOKUP($A42,'Pre-Assessment Estimator'!$A$10:$Z$226,F$2,FALSE)</f>
        <v>1</v>
      </c>
      <c r="G42" s="580" t="str">
        <f>IF(VLOOKUP($A42,'Pre-Assessment Estimator'!$A$10:$Z$226,G$2,FALSE)=0,"",VLOOKUP($A42,'Pre-Assessment Estimator'!$A$10:$Z$226,G$2,FALSE))</f>
        <v/>
      </c>
      <c r="H42" s="1220">
        <f>VLOOKUP($A42,'Pre-Assessment Estimator'!$A$10:$Z$226,H$2,FALSE)</f>
        <v>0</v>
      </c>
      <c r="I42" s="576" t="str">
        <f>VLOOKUP($A42,'Pre-Assessment Estimator'!$A$10:$Z$226,I$2,FALSE)</f>
        <v>N/A</v>
      </c>
      <c r="J42" s="577" t="str">
        <f>IF(VLOOKUP($A42,'Pre-Assessment Estimator'!$A$10:$Z$226,J$2,FALSE)=0,"",VLOOKUP($A42,'Pre-Assessment Estimator'!$A$10:$Z$226,J$2,FALSE))</f>
        <v/>
      </c>
      <c r="K42" s="577" t="str">
        <f>IF(VLOOKUP($A42,'Pre-Assessment Estimator'!$A$10:$Z$226,K$2,FALSE)=0,"",VLOOKUP($A42,'Pre-Assessment Estimator'!$A$10:$Z$226,K$2,FALSE))</f>
        <v/>
      </c>
      <c r="L42" s="578" t="str">
        <f>IF(VLOOKUP($A42,'Pre-Assessment Estimator'!$A$10:$Z$226,L$2,FALSE)=0,"",VLOOKUP($A42,'Pre-Assessment Estimator'!$A$10:$Z$226,L$2,FALSE))</f>
        <v/>
      </c>
      <c r="M42" s="579"/>
      <c r="N42" s="580" t="str">
        <f>IF(VLOOKUP($A42,'Pre-Assessment Estimator'!$A$10:$Z$226,N$2,FALSE)=0,"",VLOOKUP($A42,'Pre-Assessment Estimator'!$A$10:$Z$226,N$2,FALSE))</f>
        <v/>
      </c>
      <c r="O42" s="575">
        <f>VLOOKUP($A42,'Pre-Assessment Estimator'!$A$10:$Z$226,O$2,FALSE)</f>
        <v>0</v>
      </c>
      <c r="P42" s="574" t="str">
        <f>VLOOKUP($A42,'Pre-Assessment Estimator'!$A$10:$Z$226,P$2,FALSE)</f>
        <v>N/A</v>
      </c>
      <c r="Q42" s="577" t="str">
        <f>IF(VLOOKUP($A42,'Pre-Assessment Estimator'!$A$10:$Z$226,Q$2,FALSE)=0,"",VLOOKUP($A42,'Pre-Assessment Estimator'!$A$10:$Z$226,Q$2,FALSE))</f>
        <v/>
      </c>
      <c r="R42" s="577" t="str">
        <f>IF(VLOOKUP($A42,'Pre-Assessment Estimator'!$A$10:$Z$226,R$2,FALSE)=0,"",VLOOKUP($A42,'Pre-Assessment Estimator'!$A$10:$Z$226,R$2,FALSE))</f>
        <v/>
      </c>
      <c r="S42" s="578" t="str">
        <f>IF(VLOOKUP($A42,'Pre-Assessment Estimator'!$A$10:$Z$226,S$2,FALSE)=0,"",VLOOKUP($A42,'Pre-Assessment Estimator'!$A$10:$Z$226,S$2,FALSE))</f>
        <v/>
      </c>
      <c r="T42" s="581"/>
      <c r="U42" s="580" t="str">
        <f>IF(VLOOKUP($A42,'Pre-Assessment Estimator'!$A$10:$Z$226,U$2,FALSE)=0,"",VLOOKUP($A42,'Pre-Assessment Estimator'!$A$10:$Z$226,U$2,FALSE))</f>
        <v/>
      </c>
      <c r="V42" s="575">
        <f>VLOOKUP($A42,'Pre-Assessment Estimator'!$A$10:$Z$226,V$2,FALSE)</f>
        <v>0</v>
      </c>
      <c r="W42" s="574" t="str">
        <f>VLOOKUP($A42,'Pre-Assessment Estimator'!$A$10:$Z$226,W$2,FALSE)</f>
        <v>N/A</v>
      </c>
      <c r="X42" s="577" t="str">
        <f>IF(VLOOKUP($A42,'Pre-Assessment Estimator'!$A$10:$Z$226,X$2,FALSE)=0,"",VLOOKUP($A42,'Pre-Assessment Estimator'!$A$10:$Z$226,X$2,FALSE))</f>
        <v/>
      </c>
      <c r="Y42" s="577" t="str">
        <f>IF(VLOOKUP($A42,'Pre-Assessment Estimator'!$A$10:$Z$226,Y$2,FALSE)=0,"",VLOOKUP($A42,'Pre-Assessment Estimator'!$A$10:$Z$226,Y$2,FALSE))</f>
        <v/>
      </c>
      <c r="Z42" s="370" t="str">
        <f>IF(VLOOKUP($A42,'Pre-Assessment Estimator'!$A$10:$Z$226,Z$2,FALSE)=0,"",VLOOKUP($A42,'Pre-Assessment Estimator'!$A$10:$Z$226,Z$2,FALSE))</f>
        <v/>
      </c>
      <c r="AA42" s="696">
        <v>32</v>
      </c>
      <c r="AB42" s="577" t="str">
        <f>IF(VLOOKUP($A42,'Pre-Assessment Estimator'!$A$10:$AB$226,AB$2,FALSE)=0,"",VLOOKUP($A42,'Pre-Assessment Estimator'!$A$10:$AB$226,AB$2,FALSE))</f>
        <v/>
      </c>
      <c r="AF42" s="386">
        <f t="shared" si="0"/>
        <v>1</v>
      </c>
      <c r="AN42" s="386"/>
      <c r="AO42" s="386"/>
      <c r="AP42" s="386"/>
    </row>
    <row r="43" spans="1:42" x14ac:dyDescent="0.25">
      <c r="A43" s="823">
        <v>34</v>
      </c>
      <c r="B43" s="1234" t="s">
        <v>65</v>
      </c>
      <c r="C43" s="1234"/>
      <c r="D43" s="1257" t="str">
        <f>VLOOKUP($A43,'Pre-Assessment Estimator'!$A$10:$Z$226,D$2,FALSE)</f>
        <v>Hea 01</v>
      </c>
      <c r="E43" s="1258" t="str">
        <f>VLOOKUP($A43,'Pre-Assessment Estimator'!$A$10:$Z$226,E$2,FALSE)</f>
        <v xml:space="preserve">View out </v>
      </c>
      <c r="F43" s="574">
        <f>VLOOKUP($A43,'Pre-Assessment Estimator'!$A$10:$Z$226,F$2,FALSE)</f>
        <v>1</v>
      </c>
      <c r="G43" s="580" t="str">
        <f>IF(VLOOKUP($A43,'Pre-Assessment Estimator'!$A$10:$Z$226,G$2,FALSE)=0,"",VLOOKUP($A43,'Pre-Assessment Estimator'!$A$10:$Z$226,G$2,FALSE))</f>
        <v/>
      </c>
      <c r="H43" s="1220">
        <f>VLOOKUP($A43,'Pre-Assessment Estimator'!$A$10:$Z$226,H$2,FALSE)</f>
        <v>0</v>
      </c>
      <c r="I43" s="576" t="str">
        <f>VLOOKUP($A43,'Pre-Assessment Estimator'!$A$10:$Z$226,I$2,FALSE)</f>
        <v>N/A</v>
      </c>
      <c r="J43" s="577" t="str">
        <f>IF(VLOOKUP($A43,'Pre-Assessment Estimator'!$A$10:$Z$226,J$2,FALSE)=0,"",VLOOKUP($A43,'Pre-Assessment Estimator'!$A$10:$Z$226,J$2,FALSE))</f>
        <v/>
      </c>
      <c r="K43" s="577" t="str">
        <f>IF(VLOOKUP($A43,'Pre-Assessment Estimator'!$A$10:$Z$226,K$2,FALSE)=0,"",VLOOKUP($A43,'Pre-Assessment Estimator'!$A$10:$Z$226,K$2,FALSE))</f>
        <v/>
      </c>
      <c r="L43" s="578" t="str">
        <f>IF(VLOOKUP($A43,'Pre-Assessment Estimator'!$A$10:$Z$226,L$2,FALSE)=0,"",VLOOKUP($A43,'Pre-Assessment Estimator'!$A$10:$Z$226,L$2,FALSE))</f>
        <v/>
      </c>
      <c r="M43" s="579"/>
      <c r="N43" s="580" t="str">
        <f>IF(VLOOKUP($A43,'Pre-Assessment Estimator'!$A$10:$Z$226,N$2,FALSE)=0,"",VLOOKUP($A43,'Pre-Assessment Estimator'!$A$10:$Z$226,N$2,FALSE))</f>
        <v/>
      </c>
      <c r="O43" s="575">
        <f>VLOOKUP($A43,'Pre-Assessment Estimator'!$A$10:$Z$226,O$2,FALSE)</f>
        <v>0</v>
      </c>
      <c r="P43" s="574" t="str">
        <f>VLOOKUP($A43,'Pre-Assessment Estimator'!$A$10:$Z$226,P$2,FALSE)</f>
        <v>N/A</v>
      </c>
      <c r="Q43" s="577" t="str">
        <f>IF(VLOOKUP($A43,'Pre-Assessment Estimator'!$A$10:$Z$226,Q$2,FALSE)=0,"",VLOOKUP($A43,'Pre-Assessment Estimator'!$A$10:$Z$226,Q$2,FALSE))</f>
        <v/>
      </c>
      <c r="R43" s="577" t="str">
        <f>IF(VLOOKUP($A43,'Pre-Assessment Estimator'!$A$10:$Z$226,R$2,FALSE)=0,"",VLOOKUP($A43,'Pre-Assessment Estimator'!$A$10:$Z$226,R$2,FALSE))</f>
        <v/>
      </c>
      <c r="S43" s="578" t="str">
        <f>IF(VLOOKUP($A43,'Pre-Assessment Estimator'!$A$10:$Z$226,S$2,FALSE)=0,"",VLOOKUP($A43,'Pre-Assessment Estimator'!$A$10:$Z$226,S$2,FALSE))</f>
        <v/>
      </c>
      <c r="T43" s="581"/>
      <c r="U43" s="580" t="str">
        <f>IF(VLOOKUP($A43,'Pre-Assessment Estimator'!$A$10:$Z$226,U$2,FALSE)=0,"",VLOOKUP($A43,'Pre-Assessment Estimator'!$A$10:$Z$226,U$2,FALSE))</f>
        <v/>
      </c>
      <c r="V43" s="575">
        <f>VLOOKUP($A43,'Pre-Assessment Estimator'!$A$10:$Z$226,V$2,FALSE)</f>
        <v>0</v>
      </c>
      <c r="W43" s="574" t="str">
        <f>VLOOKUP($A43,'Pre-Assessment Estimator'!$A$10:$Z$226,W$2,FALSE)</f>
        <v>N/A</v>
      </c>
      <c r="X43" s="577" t="str">
        <f>IF(VLOOKUP($A43,'Pre-Assessment Estimator'!$A$10:$Z$226,X$2,FALSE)=0,"",VLOOKUP($A43,'Pre-Assessment Estimator'!$A$10:$Z$226,X$2,FALSE))</f>
        <v/>
      </c>
      <c r="Y43" s="577" t="str">
        <f>IF(VLOOKUP($A43,'Pre-Assessment Estimator'!$A$10:$Z$226,Y$2,FALSE)=0,"",VLOOKUP($A43,'Pre-Assessment Estimator'!$A$10:$Z$226,Y$2,FALSE))</f>
        <v/>
      </c>
      <c r="Z43" s="370" t="str">
        <f>IF(VLOOKUP($A43,'Pre-Assessment Estimator'!$A$10:$Z$226,Z$2,FALSE)=0,"",VLOOKUP($A43,'Pre-Assessment Estimator'!$A$10:$Z$226,Z$2,FALSE))</f>
        <v/>
      </c>
      <c r="AA43" s="696">
        <v>33</v>
      </c>
      <c r="AB43" s="577" t="str">
        <f>IF(VLOOKUP($A43,'Pre-Assessment Estimator'!$A$10:$AB$226,AB$2,FALSE)=0,"",VLOOKUP($A43,'Pre-Assessment Estimator'!$A$10:$AB$226,AB$2,FALSE))</f>
        <v/>
      </c>
      <c r="AF43" s="386">
        <f t="shared" si="0"/>
        <v>1</v>
      </c>
      <c r="AN43" s="386"/>
      <c r="AO43" s="386"/>
      <c r="AP43" s="386"/>
    </row>
    <row r="44" spans="1:42" x14ac:dyDescent="0.25">
      <c r="A44" s="823">
        <v>35</v>
      </c>
      <c r="B44" s="1234" t="s">
        <v>65</v>
      </c>
      <c r="C44" s="1234"/>
      <c r="D44" s="1257" t="str">
        <f>VLOOKUP($A44,'Pre-Assessment Estimator'!$A$10:$Z$226,D$2,FALSE)</f>
        <v>Hea 01</v>
      </c>
      <c r="E44" s="1258" t="str">
        <f>VLOOKUP($A44,'Pre-Assessment Estimator'!$A$10:$Z$226,E$2,FALSE)</f>
        <v xml:space="preserve">Sunlight </v>
      </c>
      <c r="F44" s="574">
        <f>VLOOKUP($A44,'Pre-Assessment Estimator'!$A$10:$Z$226,F$2,FALSE)</f>
        <v>1</v>
      </c>
      <c r="G44" s="580" t="str">
        <f>IF(VLOOKUP($A44,'Pre-Assessment Estimator'!$A$10:$Z$226,G$2,FALSE)=0,"",VLOOKUP($A44,'Pre-Assessment Estimator'!$A$10:$Z$226,G$2,FALSE))</f>
        <v/>
      </c>
      <c r="H44" s="1220">
        <f>VLOOKUP($A44,'Pre-Assessment Estimator'!$A$10:$Z$226,H$2,FALSE)</f>
        <v>0</v>
      </c>
      <c r="I44" s="576" t="str">
        <f>VLOOKUP($A44,'Pre-Assessment Estimator'!$A$10:$Z$226,I$2,FALSE)</f>
        <v>N/A</v>
      </c>
      <c r="J44" s="577" t="str">
        <f>IF(VLOOKUP($A44,'Pre-Assessment Estimator'!$A$10:$Z$226,J$2,FALSE)=0,"",VLOOKUP($A44,'Pre-Assessment Estimator'!$A$10:$Z$226,J$2,FALSE))</f>
        <v/>
      </c>
      <c r="K44" s="577" t="str">
        <f>IF(VLOOKUP($A44,'Pre-Assessment Estimator'!$A$10:$Z$226,K$2,FALSE)=0,"",VLOOKUP($A44,'Pre-Assessment Estimator'!$A$10:$Z$226,K$2,FALSE))</f>
        <v/>
      </c>
      <c r="L44" s="578" t="str">
        <f>IF(VLOOKUP($A44,'Pre-Assessment Estimator'!$A$10:$Z$226,L$2,FALSE)=0,"",VLOOKUP($A44,'Pre-Assessment Estimator'!$A$10:$Z$226,L$2,FALSE))</f>
        <v/>
      </c>
      <c r="M44" s="579"/>
      <c r="N44" s="580" t="str">
        <f>IF(VLOOKUP($A44,'Pre-Assessment Estimator'!$A$10:$Z$226,N$2,FALSE)=0,"",VLOOKUP($A44,'Pre-Assessment Estimator'!$A$10:$Z$226,N$2,FALSE))</f>
        <v/>
      </c>
      <c r="O44" s="575">
        <f>VLOOKUP($A44,'Pre-Assessment Estimator'!$A$10:$Z$226,O$2,FALSE)</f>
        <v>0</v>
      </c>
      <c r="P44" s="574" t="str">
        <f>VLOOKUP($A44,'Pre-Assessment Estimator'!$A$10:$Z$226,P$2,FALSE)</f>
        <v>N/A</v>
      </c>
      <c r="Q44" s="577" t="str">
        <f>IF(VLOOKUP($A44,'Pre-Assessment Estimator'!$A$10:$Z$226,Q$2,FALSE)=0,"",VLOOKUP($A44,'Pre-Assessment Estimator'!$A$10:$Z$226,Q$2,FALSE))</f>
        <v/>
      </c>
      <c r="R44" s="577" t="str">
        <f>IF(VLOOKUP($A44,'Pre-Assessment Estimator'!$A$10:$Z$226,R$2,FALSE)=0,"",VLOOKUP($A44,'Pre-Assessment Estimator'!$A$10:$Z$226,R$2,FALSE))</f>
        <v/>
      </c>
      <c r="S44" s="578" t="str">
        <f>IF(VLOOKUP($A44,'Pre-Assessment Estimator'!$A$10:$Z$226,S$2,FALSE)=0,"",VLOOKUP($A44,'Pre-Assessment Estimator'!$A$10:$Z$226,S$2,FALSE))</f>
        <v/>
      </c>
      <c r="T44" s="581"/>
      <c r="U44" s="580" t="str">
        <f>IF(VLOOKUP($A44,'Pre-Assessment Estimator'!$A$10:$Z$226,U$2,FALSE)=0,"",VLOOKUP($A44,'Pre-Assessment Estimator'!$A$10:$Z$226,U$2,FALSE))</f>
        <v/>
      </c>
      <c r="V44" s="575">
        <f>VLOOKUP($A44,'Pre-Assessment Estimator'!$A$10:$Z$226,V$2,FALSE)</f>
        <v>0</v>
      </c>
      <c r="W44" s="574" t="str">
        <f>VLOOKUP($A44,'Pre-Assessment Estimator'!$A$10:$Z$226,W$2,FALSE)</f>
        <v>N/A</v>
      </c>
      <c r="X44" s="577" t="str">
        <f>IF(VLOOKUP($A44,'Pre-Assessment Estimator'!$A$10:$Z$226,X$2,FALSE)=0,"",VLOOKUP($A44,'Pre-Assessment Estimator'!$A$10:$Z$226,X$2,FALSE))</f>
        <v/>
      </c>
      <c r="Y44" s="577" t="str">
        <f>IF(VLOOKUP($A44,'Pre-Assessment Estimator'!$A$10:$Z$226,Y$2,FALSE)=0,"",VLOOKUP($A44,'Pre-Assessment Estimator'!$A$10:$Z$226,Y$2,FALSE))</f>
        <v/>
      </c>
      <c r="Z44" s="370" t="str">
        <f>IF(VLOOKUP($A44,'Pre-Assessment Estimator'!$A$10:$Z$226,Z$2,FALSE)=0,"",VLOOKUP($A44,'Pre-Assessment Estimator'!$A$10:$Z$226,Z$2,FALSE))</f>
        <v/>
      </c>
      <c r="AA44" s="696">
        <v>34</v>
      </c>
      <c r="AB44" s="577"/>
      <c r="AF44" s="386">
        <f t="shared" si="0"/>
        <v>1</v>
      </c>
      <c r="AN44" s="386"/>
      <c r="AO44" s="386"/>
      <c r="AP44" s="386"/>
    </row>
    <row r="45" spans="1:42" x14ac:dyDescent="0.25">
      <c r="A45" s="823">
        <v>36</v>
      </c>
      <c r="B45" s="1234" t="s">
        <v>65</v>
      </c>
      <c r="C45" s="1234"/>
      <c r="D45" s="1257" t="str">
        <f>VLOOKUP($A45,'Pre-Assessment Estimator'!$A$10:$Z$226,D$2,FALSE)</f>
        <v>Hea 01</v>
      </c>
      <c r="E45" s="1258" t="str">
        <f>VLOOKUP($A45,'Pre-Assessment Estimator'!$A$10:$Z$226,E$2,FALSE)</f>
        <v xml:space="preserve">Internal and external lighting levels, zoning and control </v>
      </c>
      <c r="F45" s="574">
        <f>VLOOKUP($A45,'Pre-Assessment Estimator'!$A$10:$Z$226,F$2,FALSE)</f>
        <v>1</v>
      </c>
      <c r="G45" s="580" t="str">
        <f>IF(VLOOKUP($A45,'Pre-Assessment Estimator'!$A$10:$Z$226,G$2,FALSE)=0,"",VLOOKUP($A45,'Pre-Assessment Estimator'!$A$10:$Z$226,G$2,FALSE))</f>
        <v/>
      </c>
      <c r="H45" s="1220">
        <f>VLOOKUP($A45,'Pre-Assessment Estimator'!$A$10:$Z$226,H$2,FALSE)</f>
        <v>0</v>
      </c>
      <c r="I45" s="576" t="str">
        <f>VLOOKUP($A45,'Pre-Assessment Estimator'!$A$10:$Z$226,I$2,FALSE)</f>
        <v>N/A</v>
      </c>
      <c r="J45" s="577" t="str">
        <f>IF(VLOOKUP($A45,'Pre-Assessment Estimator'!$A$10:$Z$226,J$2,FALSE)=0,"",VLOOKUP($A45,'Pre-Assessment Estimator'!$A$10:$Z$226,J$2,FALSE))</f>
        <v/>
      </c>
      <c r="K45" s="577" t="str">
        <f>IF(VLOOKUP($A45,'Pre-Assessment Estimator'!$A$10:$Z$226,K$2,FALSE)=0,"",VLOOKUP($A45,'Pre-Assessment Estimator'!$A$10:$Z$226,K$2,FALSE))</f>
        <v/>
      </c>
      <c r="L45" s="578" t="str">
        <f>IF(VLOOKUP($A45,'Pre-Assessment Estimator'!$A$10:$Z$226,L$2,FALSE)=0,"",VLOOKUP($A45,'Pre-Assessment Estimator'!$A$10:$Z$226,L$2,FALSE))</f>
        <v/>
      </c>
      <c r="M45" s="579"/>
      <c r="N45" s="580" t="str">
        <f>IF(VLOOKUP($A45,'Pre-Assessment Estimator'!$A$10:$Z$226,N$2,FALSE)=0,"",VLOOKUP($A45,'Pre-Assessment Estimator'!$A$10:$Z$226,N$2,FALSE))</f>
        <v/>
      </c>
      <c r="O45" s="575">
        <f>VLOOKUP($A45,'Pre-Assessment Estimator'!$A$10:$Z$226,O$2,FALSE)</f>
        <v>0</v>
      </c>
      <c r="P45" s="574" t="str">
        <f>VLOOKUP($A45,'Pre-Assessment Estimator'!$A$10:$Z$226,P$2,FALSE)</f>
        <v>N/A</v>
      </c>
      <c r="Q45" s="577" t="str">
        <f>IF(VLOOKUP($A45,'Pre-Assessment Estimator'!$A$10:$Z$226,Q$2,FALSE)=0,"",VLOOKUP($A45,'Pre-Assessment Estimator'!$A$10:$Z$226,Q$2,FALSE))</f>
        <v/>
      </c>
      <c r="R45" s="577" t="str">
        <f>IF(VLOOKUP($A45,'Pre-Assessment Estimator'!$A$10:$Z$226,R$2,FALSE)=0,"",VLOOKUP($A45,'Pre-Assessment Estimator'!$A$10:$Z$226,R$2,FALSE))</f>
        <v/>
      </c>
      <c r="S45" s="578" t="str">
        <f>IF(VLOOKUP($A45,'Pre-Assessment Estimator'!$A$10:$Z$226,S$2,FALSE)=0,"",VLOOKUP($A45,'Pre-Assessment Estimator'!$A$10:$Z$226,S$2,FALSE))</f>
        <v/>
      </c>
      <c r="T45" s="581"/>
      <c r="U45" s="580" t="str">
        <f>IF(VLOOKUP($A45,'Pre-Assessment Estimator'!$A$10:$Z$226,U$2,FALSE)=0,"",VLOOKUP($A45,'Pre-Assessment Estimator'!$A$10:$Z$226,U$2,FALSE))</f>
        <v/>
      </c>
      <c r="V45" s="575">
        <f>VLOOKUP($A45,'Pre-Assessment Estimator'!$A$10:$Z$226,V$2,FALSE)</f>
        <v>0</v>
      </c>
      <c r="W45" s="574" t="str">
        <f>VLOOKUP($A45,'Pre-Assessment Estimator'!$A$10:$Z$226,W$2,FALSE)</f>
        <v>N/A</v>
      </c>
      <c r="X45" s="577" t="str">
        <f>IF(VLOOKUP($A45,'Pre-Assessment Estimator'!$A$10:$Z$226,X$2,FALSE)=0,"",VLOOKUP($A45,'Pre-Assessment Estimator'!$A$10:$Z$226,X$2,FALSE))</f>
        <v/>
      </c>
      <c r="Y45" s="577" t="str">
        <f>IF(VLOOKUP($A45,'Pre-Assessment Estimator'!$A$10:$Z$226,Y$2,FALSE)=0,"",VLOOKUP($A45,'Pre-Assessment Estimator'!$A$10:$Z$226,Y$2,FALSE))</f>
        <v/>
      </c>
      <c r="Z45" s="370" t="str">
        <f>IF(VLOOKUP($A45,'Pre-Assessment Estimator'!$A$10:$Z$226,Z$2,FALSE)=0,"",VLOOKUP($A45,'Pre-Assessment Estimator'!$A$10:$Z$226,Z$2,FALSE))</f>
        <v/>
      </c>
      <c r="AA45" s="696">
        <v>35</v>
      </c>
      <c r="AB45" s="577"/>
      <c r="AF45" s="386">
        <f t="shared" si="0"/>
        <v>1</v>
      </c>
      <c r="AN45" s="386"/>
      <c r="AO45" s="386"/>
      <c r="AP45" s="386"/>
    </row>
    <row r="46" spans="1:42" x14ac:dyDescent="0.25">
      <c r="A46" s="823">
        <v>37</v>
      </c>
      <c r="B46" s="1234" t="s">
        <v>65</v>
      </c>
      <c r="C46" s="1234"/>
      <c r="D46" s="1256" t="str">
        <f>VLOOKUP($A46,'Pre-Assessment Estimator'!$A$10:$Z$226,D$2,FALSE)</f>
        <v>Hea 02</v>
      </c>
      <c r="E46" s="1256" t="str">
        <f>VLOOKUP($A46,'Pre-Assessment Estimator'!$A$10:$Z$226,E$2,FALSE)</f>
        <v>Hea 02 Indoor air quality</v>
      </c>
      <c r="F46" s="574">
        <f>VLOOKUP($A46,'Pre-Assessment Estimator'!$A$10:$Z$226,F$2,FALSE)</f>
        <v>4</v>
      </c>
      <c r="G46" s="580" t="str">
        <f>IF(VLOOKUP($A46,'Pre-Assessment Estimator'!$A$10:$Z$226,G$2,FALSE)=0,"",VLOOKUP($A46,'Pre-Assessment Estimator'!$A$10:$Z$226,G$2,FALSE))</f>
        <v/>
      </c>
      <c r="H46" s="1220" t="str">
        <f>VLOOKUP($A46,'Pre-Assessment Estimator'!$A$10:$Z$226,H$2,FALSE)</f>
        <v>0 c. 0 %</v>
      </c>
      <c r="I46" s="576" t="str">
        <f>VLOOKUP($A46,'Pre-Assessment Estimator'!$A$10:$Z$226,I$2,FALSE)</f>
        <v>N/A</v>
      </c>
      <c r="J46" s="577" t="str">
        <f>IF(VLOOKUP($A46,'Pre-Assessment Estimator'!$A$10:$Z$226,J$2,FALSE)=0,"",VLOOKUP($A46,'Pre-Assessment Estimator'!$A$10:$Z$226,J$2,FALSE))</f>
        <v/>
      </c>
      <c r="K46" s="577" t="str">
        <f>IF(VLOOKUP($A46,'Pre-Assessment Estimator'!$A$10:$Z$226,K$2,FALSE)=0,"",VLOOKUP($A46,'Pre-Assessment Estimator'!$A$10:$Z$226,K$2,FALSE))</f>
        <v/>
      </c>
      <c r="L46" s="578" t="str">
        <f>IF(VLOOKUP($A46,'Pre-Assessment Estimator'!$A$10:$Z$226,L$2,FALSE)=0,"",VLOOKUP($A46,'Pre-Assessment Estimator'!$A$10:$Z$226,L$2,FALSE))</f>
        <v/>
      </c>
      <c r="M46" s="579"/>
      <c r="N46" s="580" t="str">
        <f>IF(VLOOKUP($A46,'Pre-Assessment Estimator'!$A$10:$Z$226,N$2,FALSE)=0,"",VLOOKUP($A46,'Pre-Assessment Estimator'!$A$10:$Z$226,N$2,FALSE))</f>
        <v/>
      </c>
      <c r="O46" s="575" t="str">
        <f>VLOOKUP($A46,'Pre-Assessment Estimator'!$A$10:$Z$226,O$2,FALSE)</f>
        <v>0 c. 0 %</v>
      </c>
      <c r="P46" s="574" t="str">
        <f>VLOOKUP($A46,'Pre-Assessment Estimator'!$A$10:$Z$226,P$2,FALSE)</f>
        <v>N/A</v>
      </c>
      <c r="Q46" s="577" t="str">
        <f>IF(VLOOKUP($A46,'Pre-Assessment Estimator'!$A$10:$Z$226,Q$2,FALSE)=0,"",VLOOKUP($A46,'Pre-Assessment Estimator'!$A$10:$Z$226,Q$2,FALSE))</f>
        <v/>
      </c>
      <c r="R46" s="577" t="str">
        <f>IF(VLOOKUP($A46,'Pre-Assessment Estimator'!$A$10:$Z$226,R$2,FALSE)=0,"",VLOOKUP($A46,'Pre-Assessment Estimator'!$A$10:$Z$226,R$2,FALSE))</f>
        <v/>
      </c>
      <c r="S46" s="578" t="str">
        <f>IF(VLOOKUP($A46,'Pre-Assessment Estimator'!$A$10:$Z$226,S$2,FALSE)=0,"",VLOOKUP($A46,'Pre-Assessment Estimator'!$A$10:$Z$226,S$2,FALSE))</f>
        <v/>
      </c>
      <c r="T46" s="581"/>
      <c r="U46" s="580" t="str">
        <f>IF(VLOOKUP($A46,'Pre-Assessment Estimator'!$A$10:$Z$226,U$2,FALSE)=0,"",VLOOKUP($A46,'Pre-Assessment Estimator'!$A$10:$Z$226,U$2,FALSE))</f>
        <v/>
      </c>
      <c r="V46" s="575" t="str">
        <f>VLOOKUP($A46,'Pre-Assessment Estimator'!$A$10:$Z$226,V$2,FALSE)</f>
        <v>0 c. 0 %</v>
      </c>
      <c r="W46" s="574" t="str">
        <f>VLOOKUP($A46,'Pre-Assessment Estimator'!$A$10:$Z$226,W$2,FALSE)</f>
        <v>N/A</v>
      </c>
      <c r="X46" s="577" t="str">
        <f>IF(VLOOKUP($A46,'Pre-Assessment Estimator'!$A$10:$Z$226,X$2,FALSE)=0,"",VLOOKUP($A46,'Pre-Assessment Estimator'!$A$10:$Z$226,X$2,FALSE))</f>
        <v/>
      </c>
      <c r="Y46" s="577" t="str">
        <f>IF(VLOOKUP($A46,'Pre-Assessment Estimator'!$A$10:$Z$226,Y$2,FALSE)=0,"",VLOOKUP($A46,'Pre-Assessment Estimator'!$A$10:$Z$226,Y$2,FALSE))</f>
        <v/>
      </c>
      <c r="Z46" s="370" t="str">
        <f>IF(VLOOKUP($A46,'Pre-Assessment Estimator'!$A$10:$Z$226,Z$2,FALSE)=0,"",VLOOKUP($A46,'Pre-Assessment Estimator'!$A$10:$Z$226,Z$2,FALSE))</f>
        <v/>
      </c>
      <c r="AA46" s="696">
        <v>36</v>
      </c>
      <c r="AB46" s="577"/>
      <c r="AF46" s="386">
        <f t="shared" si="0"/>
        <v>1</v>
      </c>
      <c r="AN46" s="386"/>
      <c r="AO46" s="386"/>
      <c r="AP46" s="386"/>
    </row>
    <row r="47" spans="1:42" ht="30" x14ac:dyDescent="0.25">
      <c r="A47" s="823">
        <v>38</v>
      </c>
      <c r="B47" s="1234" t="s">
        <v>65</v>
      </c>
      <c r="C47" s="1234"/>
      <c r="D47" s="1257" t="str">
        <f>VLOOKUP($A47,'Pre-Assessment Estimator'!$A$10:$Z$226,D$2,FALSE)</f>
        <v>Hea 02</v>
      </c>
      <c r="E47" s="1258" t="str">
        <f>VLOOKUP($A47,'Pre-Assessment Estimator'!$A$10:$Z$226,E$2,FALSE)</f>
        <v>Pre-requisite: A site-specific indoor air quality plan has been produced</v>
      </c>
      <c r="F47" s="574" t="str">
        <f>VLOOKUP($A47,'Pre-Assessment Estimator'!$A$10:$Z$226,F$2,FALSE)</f>
        <v>Yes/No</v>
      </c>
      <c r="G47" s="580" t="str">
        <f>IF(VLOOKUP($A47,'Pre-Assessment Estimator'!$A$10:$Z$226,G$2,FALSE)=0,"",VLOOKUP($A47,'Pre-Assessment Estimator'!$A$10:$Z$226,G$2,FALSE))</f>
        <v/>
      </c>
      <c r="H47" s="1220" t="str">
        <f>VLOOKUP($A47,'Pre-Assessment Estimator'!$A$10:$Z$226,H$2,FALSE)</f>
        <v>-</v>
      </c>
      <c r="I47" s="576" t="str">
        <f>VLOOKUP($A47,'Pre-Assessment Estimator'!$A$10:$Z$226,I$2,FALSE)</f>
        <v>Unclassified</v>
      </c>
      <c r="J47" s="577" t="str">
        <f>IF(VLOOKUP($A47,'Pre-Assessment Estimator'!$A$10:$Z$226,J$2,FALSE)=0,"",VLOOKUP($A47,'Pre-Assessment Estimator'!$A$10:$Z$226,J$2,FALSE))</f>
        <v/>
      </c>
      <c r="K47" s="577" t="str">
        <f>IF(VLOOKUP($A47,'Pre-Assessment Estimator'!$A$10:$Z$226,K$2,FALSE)=0,"",VLOOKUP($A47,'Pre-Assessment Estimator'!$A$10:$Z$226,K$2,FALSE))</f>
        <v/>
      </c>
      <c r="L47" s="578" t="str">
        <f>IF(VLOOKUP($A47,'Pre-Assessment Estimator'!$A$10:$Z$226,L$2,FALSE)=0,"",VLOOKUP($A47,'Pre-Assessment Estimator'!$A$10:$Z$226,L$2,FALSE))</f>
        <v/>
      </c>
      <c r="M47" s="579"/>
      <c r="N47" s="580" t="str">
        <f>IF(VLOOKUP($A47,'Pre-Assessment Estimator'!$A$10:$Z$226,N$2,FALSE)=0,"",VLOOKUP($A47,'Pre-Assessment Estimator'!$A$10:$Z$226,N$2,FALSE))</f>
        <v/>
      </c>
      <c r="O47" s="575" t="str">
        <f>VLOOKUP($A47,'Pre-Assessment Estimator'!$A$10:$Z$226,O$2,FALSE)</f>
        <v>-</v>
      </c>
      <c r="P47" s="574" t="str">
        <f>VLOOKUP($A47,'Pre-Assessment Estimator'!$A$10:$Z$226,P$2,FALSE)</f>
        <v>Unclassified</v>
      </c>
      <c r="Q47" s="577" t="str">
        <f>IF(VLOOKUP($A47,'Pre-Assessment Estimator'!$A$10:$Z$226,Q$2,FALSE)=0,"",VLOOKUP($A47,'Pre-Assessment Estimator'!$A$10:$Z$226,Q$2,FALSE))</f>
        <v/>
      </c>
      <c r="R47" s="577" t="str">
        <f>IF(VLOOKUP($A47,'Pre-Assessment Estimator'!$A$10:$Z$226,R$2,FALSE)=0,"",VLOOKUP($A47,'Pre-Assessment Estimator'!$A$10:$Z$226,R$2,FALSE))</f>
        <v/>
      </c>
      <c r="S47" s="578" t="str">
        <f>IF(VLOOKUP($A47,'Pre-Assessment Estimator'!$A$10:$Z$226,S$2,FALSE)=0,"",VLOOKUP($A47,'Pre-Assessment Estimator'!$A$10:$Z$226,S$2,FALSE))</f>
        <v/>
      </c>
      <c r="T47" s="581"/>
      <c r="U47" s="580" t="str">
        <f>IF(VLOOKUP($A47,'Pre-Assessment Estimator'!$A$10:$Z$226,U$2,FALSE)=0,"",VLOOKUP($A47,'Pre-Assessment Estimator'!$A$10:$Z$226,U$2,FALSE))</f>
        <v/>
      </c>
      <c r="V47" s="575" t="str">
        <f>VLOOKUP($A47,'Pre-Assessment Estimator'!$A$10:$Z$226,V$2,FALSE)</f>
        <v>-</v>
      </c>
      <c r="W47" s="574" t="str">
        <f>VLOOKUP($A47,'Pre-Assessment Estimator'!$A$10:$Z$226,W$2,FALSE)</f>
        <v>Unclassified</v>
      </c>
      <c r="X47" s="577" t="str">
        <f>IF(VLOOKUP($A47,'Pre-Assessment Estimator'!$A$10:$Z$226,X$2,FALSE)=0,"",VLOOKUP($A47,'Pre-Assessment Estimator'!$A$10:$Z$226,X$2,FALSE))</f>
        <v/>
      </c>
      <c r="Y47" s="577" t="str">
        <f>IF(VLOOKUP($A47,'Pre-Assessment Estimator'!$A$10:$Z$226,Y$2,FALSE)=0,"",VLOOKUP($A47,'Pre-Assessment Estimator'!$A$10:$Z$226,Y$2,FALSE))</f>
        <v/>
      </c>
      <c r="Z47" s="370" t="str">
        <f>IF(VLOOKUP($A47,'Pre-Assessment Estimator'!$A$10:$Z$226,Z$2,FALSE)=0,"",VLOOKUP($A47,'Pre-Assessment Estimator'!$A$10:$Z$226,Z$2,FALSE))</f>
        <v/>
      </c>
      <c r="AA47" s="696">
        <v>37</v>
      </c>
      <c r="AB47" s="577"/>
      <c r="AF47" s="386">
        <f t="shared" si="0"/>
        <v>1</v>
      </c>
      <c r="AN47" s="386"/>
      <c r="AO47" s="386"/>
      <c r="AP47" s="386"/>
    </row>
    <row r="48" spans="1:42" x14ac:dyDescent="0.25">
      <c r="A48" s="823">
        <v>39</v>
      </c>
      <c r="B48" s="1234" t="s">
        <v>65</v>
      </c>
      <c r="C48" s="1234"/>
      <c r="D48" s="1257" t="str">
        <f>VLOOKUP($A48,'Pre-Assessment Estimator'!$A$10:$Z$226,D$2,FALSE)</f>
        <v>Hea 02</v>
      </c>
      <c r="E48" s="1258" t="str">
        <f>VLOOKUP($A48,'Pre-Assessment Estimator'!$A$10:$Z$226,E$2,FALSE)</f>
        <v>Ventilation</v>
      </c>
      <c r="F48" s="574">
        <f>VLOOKUP($A48,'Pre-Assessment Estimator'!$A$10:$Z$226,F$2,FALSE)</f>
        <v>1</v>
      </c>
      <c r="G48" s="580" t="str">
        <f>IF(VLOOKUP($A48,'Pre-Assessment Estimator'!$A$10:$Z$226,G$2,FALSE)=0,"",VLOOKUP($A48,'Pre-Assessment Estimator'!$A$10:$Z$226,G$2,FALSE))</f>
        <v/>
      </c>
      <c r="H48" s="1220">
        <f>VLOOKUP($A48,'Pre-Assessment Estimator'!$A$10:$Z$226,H$2,FALSE)</f>
        <v>0</v>
      </c>
      <c r="I48" s="576" t="str">
        <f>VLOOKUP($A48,'Pre-Assessment Estimator'!$A$10:$Z$226,I$2,FALSE)</f>
        <v>N/A</v>
      </c>
      <c r="J48" s="577" t="str">
        <f>IF(VLOOKUP($A48,'Pre-Assessment Estimator'!$A$10:$Z$226,J$2,FALSE)=0,"",VLOOKUP($A48,'Pre-Assessment Estimator'!$A$10:$Z$226,J$2,FALSE))</f>
        <v/>
      </c>
      <c r="K48" s="577" t="str">
        <f>IF(VLOOKUP($A48,'Pre-Assessment Estimator'!$A$10:$Z$226,K$2,FALSE)=0,"",VLOOKUP($A48,'Pre-Assessment Estimator'!$A$10:$Z$226,K$2,FALSE))</f>
        <v/>
      </c>
      <c r="L48" s="578" t="str">
        <f>IF(VLOOKUP($A48,'Pre-Assessment Estimator'!$A$10:$Z$226,L$2,FALSE)=0,"",VLOOKUP($A48,'Pre-Assessment Estimator'!$A$10:$Z$226,L$2,FALSE))</f>
        <v/>
      </c>
      <c r="M48" s="579"/>
      <c r="N48" s="580" t="str">
        <f>IF(VLOOKUP($A48,'Pre-Assessment Estimator'!$A$10:$Z$226,N$2,FALSE)=0,"",VLOOKUP($A48,'Pre-Assessment Estimator'!$A$10:$Z$226,N$2,FALSE))</f>
        <v/>
      </c>
      <c r="O48" s="575">
        <f>VLOOKUP($A48,'Pre-Assessment Estimator'!$A$10:$Z$226,O$2,FALSE)</f>
        <v>0</v>
      </c>
      <c r="P48" s="574" t="str">
        <f>VLOOKUP($A48,'Pre-Assessment Estimator'!$A$10:$Z$226,P$2,FALSE)</f>
        <v>N/A</v>
      </c>
      <c r="Q48" s="577" t="str">
        <f>IF(VLOOKUP($A48,'Pre-Assessment Estimator'!$A$10:$Z$226,Q$2,FALSE)=0,"",VLOOKUP($A48,'Pre-Assessment Estimator'!$A$10:$Z$226,Q$2,FALSE))</f>
        <v/>
      </c>
      <c r="R48" s="577" t="str">
        <f>IF(VLOOKUP($A48,'Pre-Assessment Estimator'!$A$10:$Z$226,R$2,FALSE)=0,"",VLOOKUP($A48,'Pre-Assessment Estimator'!$A$10:$Z$226,R$2,FALSE))</f>
        <v/>
      </c>
      <c r="S48" s="578" t="str">
        <f>IF(VLOOKUP($A48,'Pre-Assessment Estimator'!$A$10:$Z$226,S$2,FALSE)=0,"",VLOOKUP($A48,'Pre-Assessment Estimator'!$A$10:$Z$226,S$2,FALSE))</f>
        <v/>
      </c>
      <c r="T48" s="581"/>
      <c r="U48" s="580" t="str">
        <f>IF(VLOOKUP($A48,'Pre-Assessment Estimator'!$A$10:$Z$226,U$2,FALSE)=0,"",VLOOKUP($A48,'Pre-Assessment Estimator'!$A$10:$Z$226,U$2,FALSE))</f>
        <v/>
      </c>
      <c r="V48" s="575">
        <f>VLOOKUP($A48,'Pre-Assessment Estimator'!$A$10:$Z$226,V$2,FALSE)</f>
        <v>0</v>
      </c>
      <c r="W48" s="574" t="str">
        <f>VLOOKUP($A48,'Pre-Assessment Estimator'!$A$10:$Z$226,W$2,FALSE)</f>
        <v>N/A</v>
      </c>
      <c r="X48" s="577" t="str">
        <f>IF(VLOOKUP($A48,'Pre-Assessment Estimator'!$A$10:$Z$226,X$2,FALSE)=0,"",VLOOKUP($A48,'Pre-Assessment Estimator'!$A$10:$Z$226,X$2,FALSE))</f>
        <v/>
      </c>
      <c r="Y48" s="577" t="str">
        <f>IF(VLOOKUP($A48,'Pre-Assessment Estimator'!$A$10:$Z$226,Y$2,FALSE)=0,"",VLOOKUP($A48,'Pre-Assessment Estimator'!$A$10:$Z$226,Y$2,FALSE))</f>
        <v/>
      </c>
      <c r="Z48" s="370" t="str">
        <f>IF(VLOOKUP($A48,'Pre-Assessment Estimator'!$A$10:$Z$226,Z$2,FALSE)=0,"",VLOOKUP($A48,'Pre-Assessment Estimator'!$A$10:$Z$226,Z$2,FALSE))</f>
        <v/>
      </c>
      <c r="AA48" s="696">
        <v>38</v>
      </c>
      <c r="AB48" s="577"/>
      <c r="AF48" s="386">
        <f t="shared" si="0"/>
        <v>1</v>
      </c>
      <c r="AN48" s="386"/>
      <c r="AO48" s="386"/>
      <c r="AP48" s="386"/>
    </row>
    <row r="49" spans="1:42" ht="30" x14ac:dyDescent="0.25">
      <c r="A49" s="823">
        <v>40</v>
      </c>
      <c r="B49" s="1234" t="s">
        <v>65</v>
      </c>
      <c r="C49" s="1234"/>
      <c r="D49" s="1257" t="str">
        <f>VLOOKUP($A49,'Pre-Assessment Estimator'!$A$10:$Z$226,D$2,FALSE)</f>
        <v>Hea 02</v>
      </c>
      <c r="E49" s="1258" t="str">
        <f>VLOOKUP($A49,'Pre-Assessment Estimator'!$A$10:$Z$226,E$2,FALSE)</f>
        <v>Emissions from construction products (EU taxonomy requirement: criterion 5)</v>
      </c>
      <c r="F49" s="574">
        <f>VLOOKUP($A49,'Pre-Assessment Estimator'!$A$10:$Z$226,F$2,FALSE)</f>
        <v>2</v>
      </c>
      <c r="G49" s="580" t="str">
        <f>IF(VLOOKUP($A49,'Pre-Assessment Estimator'!$A$10:$Z$226,G$2,FALSE)=0,"",VLOOKUP($A49,'Pre-Assessment Estimator'!$A$10:$Z$226,G$2,FALSE))</f>
        <v/>
      </c>
      <c r="H49" s="1220">
        <f>VLOOKUP($A49,'Pre-Assessment Estimator'!$A$10:$Z$226,H$2,FALSE)</f>
        <v>0</v>
      </c>
      <c r="I49" s="576" t="str">
        <f>VLOOKUP($A49,'Pre-Assessment Estimator'!$A$10:$Z$226,I$2,FALSE)</f>
        <v>Good</v>
      </c>
      <c r="J49" s="577" t="str">
        <f>IF(VLOOKUP($A49,'Pre-Assessment Estimator'!$A$10:$Z$226,J$2,FALSE)=0,"",VLOOKUP($A49,'Pre-Assessment Estimator'!$A$10:$Z$226,J$2,FALSE))</f>
        <v/>
      </c>
      <c r="K49" s="577" t="str">
        <f>IF(VLOOKUP($A49,'Pre-Assessment Estimator'!$A$10:$Z$226,K$2,FALSE)=0,"",VLOOKUP($A49,'Pre-Assessment Estimator'!$A$10:$Z$226,K$2,FALSE))</f>
        <v/>
      </c>
      <c r="L49" s="578" t="str">
        <f>IF(VLOOKUP($A49,'Pre-Assessment Estimator'!$A$10:$Z$226,L$2,FALSE)=0,"",VLOOKUP($A49,'Pre-Assessment Estimator'!$A$10:$Z$226,L$2,FALSE))</f>
        <v/>
      </c>
      <c r="M49" s="579"/>
      <c r="N49" s="580" t="str">
        <f>IF(VLOOKUP($A49,'Pre-Assessment Estimator'!$A$10:$Z$226,N$2,FALSE)=0,"",VLOOKUP($A49,'Pre-Assessment Estimator'!$A$10:$Z$226,N$2,FALSE))</f>
        <v/>
      </c>
      <c r="O49" s="575">
        <f>VLOOKUP($A49,'Pre-Assessment Estimator'!$A$10:$Z$226,O$2,FALSE)</f>
        <v>0</v>
      </c>
      <c r="P49" s="574" t="str">
        <f>VLOOKUP($A49,'Pre-Assessment Estimator'!$A$10:$Z$226,P$2,FALSE)</f>
        <v>Good</v>
      </c>
      <c r="Q49" s="577" t="str">
        <f>IF(VLOOKUP($A49,'Pre-Assessment Estimator'!$A$10:$Z$226,Q$2,FALSE)=0,"",VLOOKUP($A49,'Pre-Assessment Estimator'!$A$10:$Z$226,Q$2,FALSE))</f>
        <v/>
      </c>
      <c r="R49" s="577" t="str">
        <f>IF(VLOOKUP($A49,'Pre-Assessment Estimator'!$A$10:$Z$226,R$2,FALSE)=0,"",VLOOKUP($A49,'Pre-Assessment Estimator'!$A$10:$Z$226,R$2,FALSE))</f>
        <v/>
      </c>
      <c r="S49" s="578" t="str">
        <f>IF(VLOOKUP($A49,'Pre-Assessment Estimator'!$A$10:$Z$226,S$2,FALSE)=0,"",VLOOKUP($A49,'Pre-Assessment Estimator'!$A$10:$Z$226,S$2,FALSE))</f>
        <v/>
      </c>
      <c r="T49" s="581"/>
      <c r="U49" s="580" t="str">
        <f>IF(VLOOKUP($A49,'Pre-Assessment Estimator'!$A$10:$Z$226,U$2,FALSE)=0,"",VLOOKUP($A49,'Pre-Assessment Estimator'!$A$10:$Z$226,U$2,FALSE))</f>
        <v/>
      </c>
      <c r="V49" s="575">
        <f>VLOOKUP($A49,'Pre-Assessment Estimator'!$A$10:$Z$226,V$2,FALSE)</f>
        <v>0</v>
      </c>
      <c r="W49" s="574" t="str">
        <f>VLOOKUP($A49,'Pre-Assessment Estimator'!$A$10:$Z$226,W$2,FALSE)</f>
        <v>Good</v>
      </c>
      <c r="X49" s="577" t="str">
        <f>IF(VLOOKUP($A49,'Pre-Assessment Estimator'!$A$10:$Z$226,X$2,FALSE)=0,"",VLOOKUP($A49,'Pre-Assessment Estimator'!$A$10:$Z$226,X$2,FALSE))</f>
        <v/>
      </c>
      <c r="Y49" s="577" t="str">
        <f>IF(VLOOKUP($A49,'Pre-Assessment Estimator'!$A$10:$Z$226,Y$2,FALSE)=0,"",VLOOKUP($A49,'Pre-Assessment Estimator'!$A$10:$Z$226,Y$2,FALSE))</f>
        <v/>
      </c>
      <c r="Z49" s="370" t="str">
        <f>IF(VLOOKUP($A49,'Pre-Assessment Estimator'!$A$10:$Z$226,Z$2,FALSE)=0,"",VLOOKUP($A49,'Pre-Assessment Estimator'!$A$10:$Z$226,Z$2,FALSE))</f>
        <v/>
      </c>
      <c r="AA49" s="696">
        <v>39</v>
      </c>
      <c r="AB49" s="577"/>
      <c r="AF49" s="386">
        <f t="shared" si="0"/>
        <v>1</v>
      </c>
      <c r="AN49" s="386"/>
      <c r="AO49" s="386"/>
      <c r="AP49" s="386"/>
    </row>
    <row r="50" spans="1:42" x14ac:dyDescent="0.25">
      <c r="A50" s="823">
        <v>41</v>
      </c>
      <c r="B50" s="1234" t="s">
        <v>65</v>
      </c>
      <c r="C50" s="1234"/>
      <c r="D50" s="1257" t="str">
        <f>VLOOKUP($A50,'Pre-Assessment Estimator'!$A$10:$Z$226,D$2,FALSE)</f>
        <v>Hea 02</v>
      </c>
      <c r="E50" s="1258" t="str">
        <f>VLOOKUP($A50,'Pre-Assessment Estimator'!$A$10:$Z$226,E$2,FALSE)</f>
        <v xml:space="preserve">Post-construction indoor air quality measurement </v>
      </c>
      <c r="F50" s="574">
        <f>VLOOKUP($A50,'Pre-Assessment Estimator'!$A$10:$Z$226,F$2,FALSE)</f>
        <v>1</v>
      </c>
      <c r="G50" s="580" t="str">
        <f>IF(VLOOKUP($A50,'Pre-Assessment Estimator'!$A$10:$Z$226,G$2,FALSE)=0,"",VLOOKUP($A50,'Pre-Assessment Estimator'!$A$10:$Z$226,G$2,FALSE))</f>
        <v/>
      </c>
      <c r="H50" s="1220">
        <f>VLOOKUP($A50,'Pre-Assessment Estimator'!$A$10:$Z$226,H$2,FALSE)</f>
        <v>0</v>
      </c>
      <c r="I50" s="576" t="str">
        <f>VLOOKUP($A50,'Pre-Assessment Estimator'!$A$10:$Z$226,I$2,FALSE)</f>
        <v>N/A</v>
      </c>
      <c r="J50" s="577" t="str">
        <f>IF(VLOOKUP($A50,'Pre-Assessment Estimator'!$A$10:$Z$226,J$2,FALSE)=0,"",VLOOKUP($A50,'Pre-Assessment Estimator'!$A$10:$Z$226,J$2,FALSE))</f>
        <v/>
      </c>
      <c r="K50" s="577" t="str">
        <f>IF(VLOOKUP($A50,'Pre-Assessment Estimator'!$A$10:$Z$226,K$2,FALSE)=0,"",VLOOKUP($A50,'Pre-Assessment Estimator'!$A$10:$Z$226,K$2,FALSE))</f>
        <v/>
      </c>
      <c r="L50" s="578" t="str">
        <f>IF(VLOOKUP($A50,'Pre-Assessment Estimator'!$A$10:$Z$226,L$2,FALSE)=0,"",VLOOKUP($A50,'Pre-Assessment Estimator'!$A$10:$Z$226,L$2,FALSE))</f>
        <v/>
      </c>
      <c r="M50" s="579"/>
      <c r="N50" s="580" t="str">
        <f>IF(VLOOKUP($A50,'Pre-Assessment Estimator'!$A$10:$Z$226,N$2,FALSE)=0,"",VLOOKUP($A50,'Pre-Assessment Estimator'!$A$10:$Z$226,N$2,FALSE))</f>
        <v/>
      </c>
      <c r="O50" s="575">
        <f>VLOOKUP($A50,'Pre-Assessment Estimator'!$A$10:$Z$226,O$2,FALSE)</f>
        <v>0</v>
      </c>
      <c r="P50" s="574" t="str">
        <f>VLOOKUP($A50,'Pre-Assessment Estimator'!$A$10:$Z$226,P$2,FALSE)</f>
        <v>N/A</v>
      </c>
      <c r="Q50" s="577" t="str">
        <f>IF(VLOOKUP($A50,'Pre-Assessment Estimator'!$A$10:$Z$226,Q$2,FALSE)=0,"",VLOOKUP($A50,'Pre-Assessment Estimator'!$A$10:$Z$226,Q$2,FALSE))</f>
        <v/>
      </c>
      <c r="R50" s="577" t="str">
        <f>IF(VLOOKUP($A50,'Pre-Assessment Estimator'!$A$10:$Z$226,R$2,FALSE)=0,"",VLOOKUP($A50,'Pre-Assessment Estimator'!$A$10:$Z$226,R$2,FALSE))</f>
        <v/>
      </c>
      <c r="S50" s="578" t="str">
        <f>IF(VLOOKUP($A50,'Pre-Assessment Estimator'!$A$10:$Z$226,S$2,FALSE)=0,"",VLOOKUP($A50,'Pre-Assessment Estimator'!$A$10:$Z$226,S$2,FALSE))</f>
        <v/>
      </c>
      <c r="T50" s="581"/>
      <c r="U50" s="580" t="str">
        <f>IF(VLOOKUP($A50,'Pre-Assessment Estimator'!$A$10:$Z$226,U$2,FALSE)=0,"",VLOOKUP($A50,'Pre-Assessment Estimator'!$A$10:$Z$226,U$2,FALSE))</f>
        <v/>
      </c>
      <c r="V50" s="575">
        <f>VLOOKUP($A50,'Pre-Assessment Estimator'!$A$10:$Z$226,V$2,FALSE)</f>
        <v>0</v>
      </c>
      <c r="W50" s="574" t="str">
        <f>VLOOKUP($A50,'Pre-Assessment Estimator'!$A$10:$Z$226,W$2,FALSE)</f>
        <v>N/A</v>
      </c>
      <c r="X50" s="577" t="str">
        <f>IF(VLOOKUP($A50,'Pre-Assessment Estimator'!$A$10:$Z$226,X$2,FALSE)=0,"",VLOOKUP($A50,'Pre-Assessment Estimator'!$A$10:$Z$226,X$2,FALSE))</f>
        <v/>
      </c>
      <c r="Y50" s="577" t="str">
        <f>IF(VLOOKUP($A50,'Pre-Assessment Estimator'!$A$10:$Z$226,Y$2,FALSE)=0,"",VLOOKUP($A50,'Pre-Assessment Estimator'!$A$10:$Z$226,Y$2,FALSE))</f>
        <v/>
      </c>
      <c r="Z50" s="370" t="str">
        <f>IF(VLOOKUP($A50,'Pre-Assessment Estimator'!$A$10:$Z$226,Z$2,FALSE)=0,"",VLOOKUP($A50,'Pre-Assessment Estimator'!$A$10:$Z$226,Z$2,FALSE))</f>
        <v/>
      </c>
      <c r="AA50" s="696">
        <v>40</v>
      </c>
      <c r="AB50" s="577"/>
      <c r="AF50" s="386">
        <f t="shared" si="0"/>
        <v>1</v>
      </c>
      <c r="AN50" s="386"/>
      <c r="AO50" s="386"/>
      <c r="AP50" s="386"/>
    </row>
    <row r="51" spans="1:42" x14ac:dyDescent="0.25">
      <c r="A51" s="823">
        <v>42</v>
      </c>
      <c r="B51" s="1234" t="s">
        <v>65</v>
      </c>
      <c r="C51" s="1234"/>
      <c r="D51" s="1256" t="str">
        <f>VLOOKUP($A51,'Pre-Assessment Estimator'!$A$10:$Z$226,D$2,FALSE)</f>
        <v>Hea 03</v>
      </c>
      <c r="E51" s="1256" t="str">
        <f>VLOOKUP($A51,'Pre-Assessment Estimator'!$A$10:$Z$226,E$2,FALSE)</f>
        <v>Hea 03 Thermal comfort</v>
      </c>
      <c r="F51" s="574">
        <f>VLOOKUP($A51,'Pre-Assessment Estimator'!$A$10:$Z$226,F$2,FALSE)</f>
        <v>3</v>
      </c>
      <c r="G51" s="580" t="str">
        <f>IF(VLOOKUP($A51,'Pre-Assessment Estimator'!$A$10:$Z$226,G$2,FALSE)=0,"",VLOOKUP($A51,'Pre-Assessment Estimator'!$A$10:$Z$226,G$2,FALSE))</f>
        <v/>
      </c>
      <c r="H51" s="1220" t="str">
        <f>VLOOKUP($A51,'Pre-Assessment Estimator'!$A$10:$Z$226,H$2,FALSE)</f>
        <v>0 c. 0 %</v>
      </c>
      <c r="I51" s="576" t="str">
        <f>VLOOKUP($A51,'Pre-Assessment Estimator'!$A$10:$Z$226,I$2,FALSE)</f>
        <v>N/A</v>
      </c>
      <c r="J51" s="577" t="str">
        <f>IF(VLOOKUP($A51,'Pre-Assessment Estimator'!$A$10:$Z$226,J$2,FALSE)=0,"",VLOOKUP($A51,'Pre-Assessment Estimator'!$A$10:$Z$226,J$2,FALSE))</f>
        <v/>
      </c>
      <c r="K51" s="577" t="str">
        <f>IF(VLOOKUP($A51,'Pre-Assessment Estimator'!$A$10:$Z$226,K$2,FALSE)=0,"",VLOOKUP($A51,'Pre-Assessment Estimator'!$A$10:$Z$226,K$2,FALSE))</f>
        <v/>
      </c>
      <c r="L51" s="578" t="str">
        <f>IF(VLOOKUP($A51,'Pre-Assessment Estimator'!$A$10:$Z$226,L$2,FALSE)=0,"",VLOOKUP($A51,'Pre-Assessment Estimator'!$A$10:$Z$226,L$2,FALSE))</f>
        <v/>
      </c>
      <c r="M51" s="579"/>
      <c r="N51" s="580" t="str">
        <f>IF(VLOOKUP($A51,'Pre-Assessment Estimator'!$A$10:$Z$226,N$2,FALSE)=0,"",VLOOKUP($A51,'Pre-Assessment Estimator'!$A$10:$Z$226,N$2,FALSE))</f>
        <v/>
      </c>
      <c r="O51" s="575" t="str">
        <f>VLOOKUP($A51,'Pre-Assessment Estimator'!$A$10:$Z$226,O$2,FALSE)</f>
        <v>0 c. 0 %</v>
      </c>
      <c r="P51" s="574" t="str">
        <f>VLOOKUP($A51,'Pre-Assessment Estimator'!$A$10:$Z$226,P$2,FALSE)</f>
        <v>N/A</v>
      </c>
      <c r="Q51" s="577" t="str">
        <f>IF(VLOOKUP($A51,'Pre-Assessment Estimator'!$A$10:$Z$226,Q$2,FALSE)=0,"",VLOOKUP($A51,'Pre-Assessment Estimator'!$A$10:$Z$226,Q$2,FALSE))</f>
        <v/>
      </c>
      <c r="R51" s="577" t="str">
        <f>IF(VLOOKUP($A51,'Pre-Assessment Estimator'!$A$10:$Z$226,R$2,FALSE)=0,"",VLOOKUP($A51,'Pre-Assessment Estimator'!$A$10:$Z$226,R$2,FALSE))</f>
        <v/>
      </c>
      <c r="S51" s="578" t="str">
        <f>IF(VLOOKUP($A51,'Pre-Assessment Estimator'!$A$10:$Z$226,S$2,FALSE)=0,"",VLOOKUP($A51,'Pre-Assessment Estimator'!$A$10:$Z$226,S$2,FALSE))</f>
        <v/>
      </c>
      <c r="T51" s="581"/>
      <c r="U51" s="580" t="str">
        <f>IF(VLOOKUP($A51,'Pre-Assessment Estimator'!$A$10:$Z$226,U$2,FALSE)=0,"",VLOOKUP($A51,'Pre-Assessment Estimator'!$A$10:$Z$226,U$2,FALSE))</f>
        <v/>
      </c>
      <c r="V51" s="575" t="str">
        <f>VLOOKUP($A51,'Pre-Assessment Estimator'!$A$10:$Z$226,V$2,FALSE)</f>
        <v>0 c. 0 %</v>
      </c>
      <c r="W51" s="574" t="str">
        <f>VLOOKUP($A51,'Pre-Assessment Estimator'!$A$10:$Z$226,W$2,FALSE)</f>
        <v>N/A</v>
      </c>
      <c r="X51" s="577" t="str">
        <f>IF(VLOOKUP($A51,'Pre-Assessment Estimator'!$A$10:$Z$226,X$2,FALSE)=0,"",VLOOKUP($A51,'Pre-Assessment Estimator'!$A$10:$Z$226,X$2,FALSE))</f>
        <v/>
      </c>
      <c r="Y51" s="577" t="str">
        <f>IF(VLOOKUP($A51,'Pre-Assessment Estimator'!$A$10:$Z$226,Y$2,FALSE)=0,"",VLOOKUP($A51,'Pre-Assessment Estimator'!$A$10:$Z$226,Y$2,FALSE))</f>
        <v/>
      </c>
      <c r="Z51" s="370" t="str">
        <f>IF(VLOOKUP($A51,'Pre-Assessment Estimator'!$A$10:$Z$226,Z$2,FALSE)=0,"",VLOOKUP($A51,'Pre-Assessment Estimator'!$A$10:$Z$226,Z$2,FALSE))</f>
        <v/>
      </c>
      <c r="AA51" s="696">
        <v>41</v>
      </c>
      <c r="AB51" s="577"/>
      <c r="AF51" s="386">
        <f t="shared" si="0"/>
        <v>1</v>
      </c>
      <c r="AN51" s="386"/>
      <c r="AO51" s="386"/>
      <c r="AP51" s="386"/>
    </row>
    <row r="52" spans="1:42" x14ac:dyDescent="0.25">
      <c r="A52" s="823">
        <v>43</v>
      </c>
      <c r="B52" s="1234" t="s">
        <v>65</v>
      </c>
      <c r="C52" s="1234"/>
      <c r="D52" s="1257" t="str">
        <f>VLOOKUP($A52,'Pre-Assessment Estimator'!$A$10:$Z$226,D$2,FALSE)</f>
        <v>Hea 03</v>
      </c>
      <c r="E52" s="1258" t="str">
        <f>VLOOKUP($A52,'Pre-Assessment Estimator'!$A$10:$Z$226,E$2,FALSE)</f>
        <v xml:space="preserve">Thermal modelling </v>
      </c>
      <c r="F52" s="574">
        <f>VLOOKUP($A52,'Pre-Assessment Estimator'!$A$10:$Z$226,F$2,FALSE)</f>
        <v>1</v>
      </c>
      <c r="G52" s="580" t="str">
        <f>IF(VLOOKUP($A52,'Pre-Assessment Estimator'!$A$10:$Z$226,G$2,FALSE)=0,"",VLOOKUP($A52,'Pre-Assessment Estimator'!$A$10:$Z$226,G$2,FALSE))</f>
        <v/>
      </c>
      <c r="H52" s="1220">
        <f>VLOOKUP($A52,'Pre-Assessment Estimator'!$A$10:$Z$226,H$2,FALSE)</f>
        <v>0</v>
      </c>
      <c r="I52" s="576" t="str">
        <f>VLOOKUP($A52,'Pre-Assessment Estimator'!$A$10:$Z$226,I$2,FALSE)</f>
        <v>N/A</v>
      </c>
      <c r="J52" s="577" t="str">
        <f>IF(VLOOKUP($A52,'Pre-Assessment Estimator'!$A$10:$Z$226,J$2,FALSE)=0,"",VLOOKUP($A52,'Pre-Assessment Estimator'!$A$10:$Z$226,J$2,FALSE))</f>
        <v/>
      </c>
      <c r="K52" s="577" t="str">
        <f>IF(VLOOKUP($A52,'Pre-Assessment Estimator'!$A$10:$Z$226,K$2,FALSE)=0,"",VLOOKUP($A52,'Pre-Assessment Estimator'!$A$10:$Z$226,K$2,FALSE))</f>
        <v/>
      </c>
      <c r="L52" s="578" t="str">
        <f>IF(VLOOKUP($A52,'Pre-Assessment Estimator'!$A$10:$Z$226,L$2,FALSE)=0,"",VLOOKUP($A52,'Pre-Assessment Estimator'!$A$10:$Z$226,L$2,FALSE))</f>
        <v/>
      </c>
      <c r="M52" s="579"/>
      <c r="N52" s="580" t="str">
        <f>IF(VLOOKUP($A52,'Pre-Assessment Estimator'!$A$10:$Z$226,N$2,FALSE)=0,"",VLOOKUP($A52,'Pre-Assessment Estimator'!$A$10:$Z$226,N$2,FALSE))</f>
        <v/>
      </c>
      <c r="O52" s="575">
        <f>VLOOKUP($A52,'Pre-Assessment Estimator'!$A$10:$Z$226,O$2,FALSE)</f>
        <v>0</v>
      </c>
      <c r="P52" s="574" t="str">
        <f>VLOOKUP($A52,'Pre-Assessment Estimator'!$A$10:$Z$226,P$2,FALSE)</f>
        <v>N/A</v>
      </c>
      <c r="Q52" s="577" t="str">
        <f>IF(VLOOKUP($A52,'Pre-Assessment Estimator'!$A$10:$Z$226,Q$2,FALSE)=0,"",VLOOKUP($A52,'Pre-Assessment Estimator'!$A$10:$Z$226,Q$2,FALSE))</f>
        <v/>
      </c>
      <c r="R52" s="577" t="str">
        <f>IF(VLOOKUP($A52,'Pre-Assessment Estimator'!$A$10:$Z$226,R$2,FALSE)=0,"",VLOOKUP($A52,'Pre-Assessment Estimator'!$A$10:$Z$226,R$2,FALSE))</f>
        <v/>
      </c>
      <c r="S52" s="578" t="str">
        <f>IF(VLOOKUP($A52,'Pre-Assessment Estimator'!$A$10:$Z$226,S$2,FALSE)=0,"",VLOOKUP($A52,'Pre-Assessment Estimator'!$A$10:$Z$226,S$2,FALSE))</f>
        <v/>
      </c>
      <c r="T52" s="581"/>
      <c r="U52" s="580" t="str">
        <f>IF(VLOOKUP($A52,'Pre-Assessment Estimator'!$A$10:$Z$226,U$2,FALSE)=0,"",VLOOKUP($A52,'Pre-Assessment Estimator'!$A$10:$Z$226,U$2,FALSE))</f>
        <v/>
      </c>
      <c r="V52" s="575">
        <f>VLOOKUP($A52,'Pre-Assessment Estimator'!$A$10:$Z$226,V$2,FALSE)</f>
        <v>0</v>
      </c>
      <c r="W52" s="574" t="str">
        <f>VLOOKUP($A52,'Pre-Assessment Estimator'!$A$10:$Z$226,W$2,FALSE)</f>
        <v>N/A</v>
      </c>
      <c r="X52" s="577" t="str">
        <f>IF(VLOOKUP($A52,'Pre-Assessment Estimator'!$A$10:$Z$226,X$2,FALSE)=0,"",VLOOKUP($A52,'Pre-Assessment Estimator'!$A$10:$Z$226,X$2,FALSE))</f>
        <v/>
      </c>
      <c r="Y52" s="577" t="str">
        <f>IF(VLOOKUP($A52,'Pre-Assessment Estimator'!$A$10:$Z$226,Y$2,FALSE)=0,"",VLOOKUP($A52,'Pre-Assessment Estimator'!$A$10:$Z$226,Y$2,FALSE))</f>
        <v/>
      </c>
      <c r="Z52" s="370" t="str">
        <f>IF(VLOOKUP($A52,'Pre-Assessment Estimator'!$A$10:$Z$226,Z$2,FALSE)=0,"",VLOOKUP($A52,'Pre-Assessment Estimator'!$A$10:$Z$226,Z$2,FALSE))</f>
        <v/>
      </c>
      <c r="AA52" s="696">
        <v>42</v>
      </c>
      <c r="AB52" s="577"/>
      <c r="AF52" s="386">
        <f t="shared" si="0"/>
        <v>1</v>
      </c>
      <c r="AN52" s="386"/>
      <c r="AO52" s="386"/>
      <c r="AP52" s="386"/>
    </row>
    <row r="53" spans="1:42" x14ac:dyDescent="0.25">
      <c r="A53" s="823">
        <v>44</v>
      </c>
      <c r="B53" s="1234" t="s">
        <v>65</v>
      </c>
      <c r="C53" s="1234"/>
      <c r="D53" s="1257" t="str">
        <f>VLOOKUP($A53,'Pre-Assessment Estimator'!$A$10:$Z$226,D$2,FALSE)</f>
        <v>Hea 03</v>
      </c>
      <c r="E53" s="1258" t="str">
        <f>VLOOKUP($A53,'Pre-Assessment Estimator'!$A$10:$Z$226,E$2,FALSE)</f>
        <v xml:space="preserve">Design for future thermal comfort </v>
      </c>
      <c r="F53" s="574">
        <f>VLOOKUP($A53,'Pre-Assessment Estimator'!$A$10:$Z$226,F$2,FALSE)</f>
        <v>1</v>
      </c>
      <c r="G53" s="580" t="str">
        <f>IF(VLOOKUP($A53,'Pre-Assessment Estimator'!$A$10:$Z$226,G$2,FALSE)=0,"",VLOOKUP($A53,'Pre-Assessment Estimator'!$A$10:$Z$226,G$2,FALSE))</f>
        <v/>
      </c>
      <c r="H53" s="1220">
        <f>VLOOKUP($A53,'Pre-Assessment Estimator'!$A$10:$Z$226,H$2,FALSE)</f>
        <v>0</v>
      </c>
      <c r="I53" s="576" t="str">
        <f>VLOOKUP($A53,'Pre-Assessment Estimator'!$A$10:$Z$226,I$2,FALSE)</f>
        <v>N/A</v>
      </c>
      <c r="J53" s="577" t="str">
        <f>IF(VLOOKUP($A53,'Pre-Assessment Estimator'!$A$10:$Z$226,J$2,FALSE)=0,"",VLOOKUP($A53,'Pre-Assessment Estimator'!$A$10:$Z$226,J$2,FALSE))</f>
        <v/>
      </c>
      <c r="K53" s="577" t="str">
        <f>IF(VLOOKUP($A53,'Pre-Assessment Estimator'!$A$10:$Z$226,K$2,FALSE)=0,"",VLOOKUP($A53,'Pre-Assessment Estimator'!$A$10:$Z$226,K$2,FALSE))</f>
        <v/>
      </c>
      <c r="L53" s="578" t="str">
        <f>IF(VLOOKUP($A53,'Pre-Assessment Estimator'!$A$10:$Z$226,L$2,FALSE)=0,"",VLOOKUP($A53,'Pre-Assessment Estimator'!$A$10:$Z$226,L$2,FALSE))</f>
        <v/>
      </c>
      <c r="M53" s="579"/>
      <c r="N53" s="580" t="str">
        <f>IF(VLOOKUP($A53,'Pre-Assessment Estimator'!$A$10:$Z$226,N$2,FALSE)=0,"",VLOOKUP($A53,'Pre-Assessment Estimator'!$A$10:$Z$226,N$2,FALSE))</f>
        <v/>
      </c>
      <c r="O53" s="575">
        <f>VLOOKUP($A53,'Pre-Assessment Estimator'!$A$10:$Z$226,O$2,FALSE)</f>
        <v>0</v>
      </c>
      <c r="P53" s="574" t="str">
        <f>VLOOKUP($A53,'Pre-Assessment Estimator'!$A$10:$Z$226,P$2,FALSE)</f>
        <v>N/A</v>
      </c>
      <c r="Q53" s="577" t="str">
        <f>IF(VLOOKUP($A53,'Pre-Assessment Estimator'!$A$10:$Z$226,Q$2,FALSE)=0,"",VLOOKUP($A53,'Pre-Assessment Estimator'!$A$10:$Z$226,Q$2,FALSE))</f>
        <v/>
      </c>
      <c r="R53" s="577" t="str">
        <f>IF(VLOOKUP($A53,'Pre-Assessment Estimator'!$A$10:$Z$226,R$2,FALSE)=0,"",VLOOKUP($A53,'Pre-Assessment Estimator'!$A$10:$Z$226,R$2,FALSE))</f>
        <v/>
      </c>
      <c r="S53" s="578" t="str">
        <f>IF(VLOOKUP($A53,'Pre-Assessment Estimator'!$A$10:$Z$226,S$2,FALSE)=0,"",VLOOKUP($A53,'Pre-Assessment Estimator'!$A$10:$Z$226,S$2,FALSE))</f>
        <v/>
      </c>
      <c r="T53" s="581"/>
      <c r="U53" s="580" t="str">
        <f>IF(VLOOKUP($A53,'Pre-Assessment Estimator'!$A$10:$Z$226,U$2,FALSE)=0,"",VLOOKUP($A53,'Pre-Assessment Estimator'!$A$10:$Z$226,U$2,FALSE))</f>
        <v/>
      </c>
      <c r="V53" s="575">
        <f>VLOOKUP($A53,'Pre-Assessment Estimator'!$A$10:$Z$226,V$2,FALSE)</f>
        <v>0</v>
      </c>
      <c r="W53" s="574" t="str">
        <f>VLOOKUP($A53,'Pre-Assessment Estimator'!$A$10:$Z$226,W$2,FALSE)</f>
        <v>N/A</v>
      </c>
      <c r="X53" s="577" t="str">
        <f>IF(VLOOKUP($A53,'Pre-Assessment Estimator'!$A$10:$Z$226,X$2,FALSE)=0,"",VLOOKUP($A53,'Pre-Assessment Estimator'!$A$10:$Z$226,X$2,FALSE))</f>
        <v/>
      </c>
      <c r="Y53" s="577" t="str">
        <f>IF(VLOOKUP($A53,'Pre-Assessment Estimator'!$A$10:$Z$226,Y$2,FALSE)=0,"",VLOOKUP($A53,'Pre-Assessment Estimator'!$A$10:$Z$226,Y$2,FALSE))</f>
        <v/>
      </c>
      <c r="Z53" s="370" t="str">
        <f>IF(VLOOKUP($A53,'Pre-Assessment Estimator'!$A$10:$Z$226,Z$2,FALSE)=0,"",VLOOKUP($A53,'Pre-Assessment Estimator'!$A$10:$Z$226,Z$2,FALSE))</f>
        <v/>
      </c>
      <c r="AA53" s="696">
        <v>43</v>
      </c>
      <c r="AB53" s="577"/>
      <c r="AF53" s="386">
        <f t="shared" si="0"/>
        <v>1</v>
      </c>
      <c r="AN53" s="386"/>
      <c r="AO53" s="386"/>
      <c r="AP53" s="386"/>
    </row>
    <row r="54" spans="1:42" x14ac:dyDescent="0.25">
      <c r="A54" s="823">
        <v>45</v>
      </c>
      <c r="B54" s="1234" t="s">
        <v>65</v>
      </c>
      <c r="C54" s="1234"/>
      <c r="D54" s="1257" t="str">
        <f>VLOOKUP($A54,'Pre-Assessment Estimator'!$A$10:$Z$226,D$2,FALSE)</f>
        <v>Hea 03</v>
      </c>
      <c r="E54" s="1258" t="str">
        <f>VLOOKUP($A54,'Pre-Assessment Estimator'!$A$10:$Z$226,E$2,FALSE)</f>
        <v xml:space="preserve">Thermal zoning and controls </v>
      </c>
      <c r="F54" s="574">
        <f>VLOOKUP($A54,'Pre-Assessment Estimator'!$A$10:$Z$226,F$2,FALSE)</f>
        <v>1</v>
      </c>
      <c r="G54" s="580" t="str">
        <f>IF(VLOOKUP($A54,'Pre-Assessment Estimator'!$A$10:$Z$226,G$2,FALSE)=0,"",VLOOKUP($A54,'Pre-Assessment Estimator'!$A$10:$Z$226,G$2,FALSE))</f>
        <v/>
      </c>
      <c r="H54" s="1220">
        <f>VLOOKUP($A54,'Pre-Assessment Estimator'!$A$10:$Z$226,H$2,FALSE)</f>
        <v>0</v>
      </c>
      <c r="I54" s="576" t="str">
        <f>VLOOKUP($A54,'Pre-Assessment Estimator'!$A$10:$Z$226,I$2,FALSE)</f>
        <v>N/A</v>
      </c>
      <c r="J54" s="577" t="str">
        <f>IF(VLOOKUP($A54,'Pre-Assessment Estimator'!$A$10:$Z$226,J$2,FALSE)=0,"",VLOOKUP($A54,'Pre-Assessment Estimator'!$A$10:$Z$226,J$2,FALSE))</f>
        <v/>
      </c>
      <c r="K54" s="577" t="str">
        <f>IF(VLOOKUP($A54,'Pre-Assessment Estimator'!$A$10:$Z$226,K$2,FALSE)=0,"",VLOOKUP($A54,'Pre-Assessment Estimator'!$A$10:$Z$226,K$2,FALSE))</f>
        <v/>
      </c>
      <c r="L54" s="578" t="str">
        <f>IF(VLOOKUP($A54,'Pre-Assessment Estimator'!$A$10:$Z$226,L$2,FALSE)=0,"",VLOOKUP($A54,'Pre-Assessment Estimator'!$A$10:$Z$226,L$2,FALSE))</f>
        <v/>
      </c>
      <c r="M54" s="579"/>
      <c r="N54" s="580" t="str">
        <f>IF(VLOOKUP($A54,'Pre-Assessment Estimator'!$A$10:$Z$226,N$2,FALSE)=0,"",VLOOKUP($A54,'Pre-Assessment Estimator'!$A$10:$Z$226,N$2,FALSE))</f>
        <v/>
      </c>
      <c r="O54" s="575">
        <f>VLOOKUP($A54,'Pre-Assessment Estimator'!$A$10:$Z$226,O$2,FALSE)</f>
        <v>0</v>
      </c>
      <c r="P54" s="574" t="str">
        <f>VLOOKUP($A54,'Pre-Assessment Estimator'!$A$10:$Z$226,P$2,FALSE)</f>
        <v>N/A</v>
      </c>
      <c r="Q54" s="577" t="str">
        <f>IF(VLOOKUP($A54,'Pre-Assessment Estimator'!$A$10:$Z$226,Q$2,FALSE)=0,"",VLOOKUP($A54,'Pre-Assessment Estimator'!$A$10:$Z$226,Q$2,FALSE))</f>
        <v/>
      </c>
      <c r="R54" s="577" t="str">
        <f>IF(VLOOKUP($A54,'Pre-Assessment Estimator'!$A$10:$Z$226,R$2,FALSE)=0,"",VLOOKUP($A54,'Pre-Assessment Estimator'!$A$10:$Z$226,R$2,FALSE))</f>
        <v/>
      </c>
      <c r="S54" s="578" t="str">
        <f>IF(VLOOKUP($A54,'Pre-Assessment Estimator'!$A$10:$Z$226,S$2,FALSE)=0,"",VLOOKUP($A54,'Pre-Assessment Estimator'!$A$10:$Z$226,S$2,FALSE))</f>
        <v/>
      </c>
      <c r="T54" s="581"/>
      <c r="U54" s="580" t="str">
        <f>IF(VLOOKUP($A54,'Pre-Assessment Estimator'!$A$10:$Z$226,U$2,FALSE)=0,"",VLOOKUP($A54,'Pre-Assessment Estimator'!$A$10:$Z$226,U$2,FALSE))</f>
        <v/>
      </c>
      <c r="V54" s="575">
        <f>VLOOKUP($A54,'Pre-Assessment Estimator'!$A$10:$Z$226,V$2,FALSE)</f>
        <v>0</v>
      </c>
      <c r="W54" s="574" t="str">
        <f>VLOOKUP($A54,'Pre-Assessment Estimator'!$A$10:$Z$226,W$2,FALSE)</f>
        <v>N/A</v>
      </c>
      <c r="X54" s="577" t="str">
        <f>IF(VLOOKUP($A54,'Pre-Assessment Estimator'!$A$10:$Z$226,X$2,FALSE)=0,"",VLOOKUP($A54,'Pre-Assessment Estimator'!$A$10:$Z$226,X$2,FALSE))</f>
        <v/>
      </c>
      <c r="Y54" s="577" t="str">
        <f>IF(VLOOKUP($A54,'Pre-Assessment Estimator'!$A$10:$Z$226,Y$2,FALSE)=0,"",VLOOKUP($A54,'Pre-Assessment Estimator'!$A$10:$Z$226,Y$2,FALSE))</f>
        <v/>
      </c>
      <c r="Z54" s="370" t="str">
        <f>IF(VLOOKUP($A54,'Pre-Assessment Estimator'!$A$10:$Z$226,Z$2,FALSE)=0,"",VLOOKUP($A54,'Pre-Assessment Estimator'!$A$10:$Z$226,Z$2,FALSE))</f>
        <v/>
      </c>
      <c r="AA54" s="696">
        <v>44</v>
      </c>
      <c r="AB54" s="577"/>
      <c r="AF54" s="386">
        <f t="shared" si="0"/>
        <v>1</v>
      </c>
      <c r="AN54" s="386"/>
      <c r="AO54" s="386"/>
      <c r="AP54" s="386"/>
    </row>
    <row r="55" spans="1:42" x14ac:dyDescent="0.25">
      <c r="A55" s="823">
        <v>46</v>
      </c>
      <c r="B55" s="1234" t="s">
        <v>65</v>
      </c>
      <c r="C55" s="1234"/>
      <c r="D55" s="1256" t="str">
        <f>VLOOKUP($A55,'Pre-Assessment Estimator'!$A$10:$Z$226,D$2,FALSE)</f>
        <v>Hea 05</v>
      </c>
      <c r="E55" s="1256" t="str">
        <f>VLOOKUP($A55,'Pre-Assessment Estimator'!$A$10:$Z$226,E$2,FALSE)</f>
        <v>Hea 05 Acoustic performance</v>
      </c>
      <c r="F55" s="574">
        <f>VLOOKUP($A55,'Pre-Assessment Estimator'!$A$10:$Z$226,F$2,FALSE)</f>
        <v>3</v>
      </c>
      <c r="G55" s="580" t="str">
        <f>IF(VLOOKUP($A55,'Pre-Assessment Estimator'!$A$10:$Z$226,G$2,FALSE)=0,"",VLOOKUP($A55,'Pre-Assessment Estimator'!$A$10:$Z$226,G$2,FALSE))</f>
        <v/>
      </c>
      <c r="H55" s="1220" t="str">
        <f>VLOOKUP($A55,'Pre-Assessment Estimator'!$A$10:$Z$226,H$2,FALSE)</f>
        <v>0 c. 0 %</v>
      </c>
      <c r="I55" s="576" t="str">
        <f>VLOOKUP($A55,'Pre-Assessment Estimator'!$A$10:$Z$226,I$2,FALSE)</f>
        <v>N/A</v>
      </c>
      <c r="J55" s="577" t="str">
        <f>IF(VLOOKUP($A55,'Pre-Assessment Estimator'!$A$10:$Z$226,J$2,FALSE)=0,"",VLOOKUP($A55,'Pre-Assessment Estimator'!$A$10:$Z$226,J$2,FALSE))</f>
        <v/>
      </c>
      <c r="K55" s="577" t="str">
        <f>IF(VLOOKUP($A55,'Pre-Assessment Estimator'!$A$10:$Z$226,K$2,FALSE)=0,"",VLOOKUP($A55,'Pre-Assessment Estimator'!$A$10:$Z$226,K$2,FALSE))</f>
        <v/>
      </c>
      <c r="L55" s="578" t="str">
        <f>IF(VLOOKUP($A55,'Pre-Assessment Estimator'!$A$10:$Z$226,L$2,FALSE)=0,"",VLOOKUP($A55,'Pre-Assessment Estimator'!$A$10:$Z$226,L$2,FALSE))</f>
        <v/>
      </c>
      <c r="M55" s="579"/>
      <c r="N55" s="580" t="str">
        <f>IF(VLOOKUP($A55,'Pre-Assessment Estimator'!$A$10:$Z$226,N$2,FALSE)=0,"",VLOOKUP($A55,'Pre-Assessment Estimator'!$A$10:$Z$226,N$2,FALSE))</f>
        <v/>
      </c>
      <c r="O55" s="575" t="str">
        <f>VLOOKUP($A55,'Pre-Assessment Estimator'!$A$10:$Z$226,O$2,FALSE)</f>
        <v>0 c. 0 %</v>
      </c>
      <c r="P55" s="574" t="str">
        <f>VLOOKUP($A55,'Pre-Assessment Estimator'!$A$10:$Z$226,P$2,FALSE)</f>
        <v>N/A</v>
      </c>
      <c r="Q55" s="577" t="str">
        <f>IF(VLOOKUP($A55,'Pre-Assessment Estimator'!$A$10:$Z$226,Q$2,FALSE)=0,"",VLOOKUP($A55,'Pre-Assessment Estimator'!$A$10:$Z$226,Q$2,FALSE))</f>
        <v/>
      </c>
      <c r="R55" s="577" t="str">
        <f>IF(VLOOKUP($A55,'Pre-Assessment Estimator'!$A$10:$Z$226,R$2,FALSE)=0,"",VLOOKUP($A55,'Pre-Assessment Estimator'!$A$10:$Z$226,R$2,FALSE))</f>
        <v/>
      </c>
      <c r="S55" s="578" t="str">
        <f>IF(VLOOKUP($A55,'Pre-Assessment Estimator'!$A$10:$Z$226,S$2,FALSE)=0,"",VLOOKUP($A55,'Pre-Assessment Estimator'!$A$10:$Z$226,S$2,FALSE))</f>
        <v/>
      </c>
      <c r="T55" s="581"/>
      <c r="U55" s="580" t="str">
        <f>IF(VLOOKUP($A55,'Pre-Assessment Estimator'!$A$10:$Z$226,U$2,FALSE)=0,"",VLOOKUP($A55,'Pre-Assessment Estimator'!$A$10:$Z$226,U$2,FALSE))</f>
        <v/>
      </c>
      <c r="V55" s="575" t="str">
        <f>VLOOKUP($A55,'Pre-Assessment Estimator'!$A$10:$Z$226,V$2,FALSE)</f>
        <v>0 c. 0 %</v>
      </c>
      <c r="W55" s="574" t="str">
        <f>VLOOKUP($A55,'Pre-Assessment Estimator'!$A$10:$Z$226,W$2,FALSE)</f>
        <v>N/A</v>
      </c>
      <c r="X55" s="577" t="str">
        <f>IF(VLOOKUP($A55,'Pre-Assessment Estimator'!$A$10:$Z$226,X$2,FALSE)=0,"",VLOOKUP($A55,'Pre-Assessment Estimator'!$A$10:$Z$226,X$2,FALSE))</f>
        <v/>
      </c>
      <c r="Y55" s="577" t="str">
        <f>IF(VLOOKUP($A55,'Pre-Assessment Estimator'!$A$10:$Z$226,Y$2,FALSE)=0,"",VLOOKUP($A55,'Pre-Assessment Estimator'!$A$10:$Z$226,Y$2,FALSE))</f>
        <v/>
      </c>
      <c r="Z55" s="370" t="str">
        <f>IF(VLOOKUP($A55,'Pre-Assessment Estimator'!$A$10:$Z$226,Z$2,FALSE)=0,"",VLOOKUP($A55,'Pre-Assessment Estimator'!$A$10:$Z$226,Z$2,FALSE))</f>
        <v/>
      </c>
      <c r="AA55" s="696">
        <v>45</v>
      </c>
      <c r="AB55" s="577"/>
      <c r="AF55" s="386">
        <f t="shared" si="0"/>
        <v>1</v>
      </c>
      <c r="AN55" s="386"/>
      <c r="AO55" s="386"/>
      <c r="AP55" s="386"/>
    </row>
    <row r="56" spans="1:42" x14ac:dyDescent="0.25">
      <c r="A56" s="823">
        <v>47</v>
      </c>
      <c r="B56" s="1234" t="s">
        <v>65</v>
      </c>
      <c r="C56" s="1234"/>
      <c r="D56" s="1257" t="str">
        <f>VLOOKUP($A56,'Pre-Assessment Estimator'!$A$10:$Z$226,D$2,FALSE)</f>
        <v>Hea 05</v>
      </c>
      <c r="E56" s="1258" t="str">
        <f>VLOOKUP($A56,'Pre-Assessment Estimator'!$A$10:$Z$226,E$2,FALSE)</f>
        <v xml:space="preserve">Pre-requisite: suitably qualified acoustician </v>
      </c>
      <c r="F56" s="574" t="str">
        <f>VLOOKUP($A56,'Pre-Assessment Estimator'!$A$10:$Z$226,F$2,FALSE)</f>
        <v>Yes/No</v>
      </c>
      <c r="G56" s="580" t="str">
        <f>IF(VLOOKUP($A56,'Pre-Assessment Estimator'!$A$10:$Z$226,G$2,FALSE)=0,"",VLOOKUP($A56,'Pre-Assessment Estimator'!$A$10:$Z$226,G$2,FALSE))</f>
        <v/>
      </c>
      <c r="H56" s="1220" t="str">
        <f>VLOOKUP($A56,'Pre-Assessment Estimator'!$A$10:$Z$226,H$2,FALSE)</f>
        <v>-</v>
      </c>
      <c r="I56" s="576" t="str">
        <f>VLOOKUP($A56,'Pre-Assessment Estimator'!$A$10:$Z$226,I$2,FALSE)</f>
        <v>N/A</v>
      </c>
      <c r="J56" s="577" t="str">
        <f>IF(VLOOKUP($A56,'Pre-Assessment Estimator'!$A$10:$Z$226,J$2,FALSE)=0,"",VLOOKUP($A56,'Pre-Assessment Estimator'!$A$10:$Z$226,J$2,FALSE))</f>
        <v/>
      </c>
      <c r="K56" s="577" t="str">
        <f>IF(VLOOKUP($A56,'Pre-Assessment Estimator'!$A$10:$Z$226,K$2,FALSE)=0,"",VLOOKUP($A56,'Pre-Assessment Estimator'!$A$10:$Z$226,K$2,FALSE))</f>
        <v/>
      </c>
      <c r="L56" s="578" t="str">
        <f>IF(VLOOKUP($A56,'Pre-Assessment Estimator'!$A$10:$Z$226,L$2,FALSE)=0,"",VLOOKUP($A56,'Pre-Assessment Estimator'!$A$10:$Z$226,L$2,FALSE))</f>
        <v/>
      </c>
      <c r="M56" s="579"/>
      <c r="N56" s="580" t="str">
        <f>IF(VLOOKUP($A56,'Pre-Assessment Estimator'!$A$10:$Z$226,N$2,FALSE)=0,"",VLOOKUP($A56,'Pre-Assessment Estimator'!$A$10:$Z$226,N$2,FALSE))</f>
        <v/>
      </c>
      <c r="O56" s="575" t="str">
        <f>VLOOKUP($A56,'Pre-Assessment Estimator'!$A$10:$Z$226,O$2,FALSE)</f>
        <v>-</v>
      </c>
      <c r="P56" s="574" t="str">
        <f>VLOOKUP($A56,'Pre-Assessment Estimator'!$A$10:$Z$226,P$2,FALSE)</f>
        <v>N/A</v>
      </c>
      <c r="Q56" s="577" t="str">
        <f>IF(VLOOKUP($A56,'Pre-Assessment Estimator'!$A$10:$Z$226,Q$2,FALSE)=0,"",VLOOKUP($A56,'Pre-Assessment Estimator'!$A$10:$Z$226,Q$2,FALSE))</f>
        <v/>
      </c>
      <c r="R56" s="577" t="str">
        <f>IF(VLOOKUP($A56,'Pre-Assessment Estimator'!$A$10:$Z$226,R$2,FALSE)=0,"",VLOOKUP($A56,'Pre-Assessment Estimator'!$A$10:$Z$226,R$2,FALSE))</f>
        <v/>
      </c>
      <c r="S56" s="578" t="str">
        <f>IF(VLOOKUP($A56,'Pre-Assessment Estimator'!$A$10:$Z$226,S$2,FALSE)=0,"",VLOOKUP($A56,'Pre-Assessment Estimator'!$A$10:$Z$226,S$2,FALSE))</f>
        <v/>
      </c>
      <c r="T56" s="581"/>
      <c r="U56" s="580" t="str">
        <f>IF(VLOOKUP($A56,'Pre-Assessment Estimator'!$A$10:$Z$226,U$2,FALSE)=0,"",VLOOKUP($A56,'Pre-Assessment Estimator'!$A$10:$Z$226,U$2,FALSE))</f>
        <v/>
      </c>
      <c r="V56" s="575" t="str">
        <f>VLOOKUP($A56,'Pre-Assessment Estimator'!$A$10:$Z$226,V$2,FALSE)</f>
        <v>-</v>
      </c>
      <c r="W56" s="574" t="str">
        <f>VLOOKUP($A56,'Pre-Assessment Estimator'!$A$10:$Z$226,W$2,FALSE)</f>
        <v>N/A</v>
      </c>
      <c r="X56" s="577" t="str">
        <f>IF(VLOOKUP($A56,'Pre-Assessment Estimator'!$A$10:$Z$226,X$2,FALSE)=0,"",VLOOKUP($A56,'Pre-Assessment Estimator'!$A$10:$Z$226,X$2,FALSE))</f>
        <v/>
      </c>
      <c r="Y56" s="577" t="str">
        <f>IF(VLOOKUP($A56,'Pre-Assessment Estimator'!$A$10:$Z$226,Y$2,FALSE)=0,"",VLOOKUP($A56,'Pre-Assessment Estimator'!$A$10:$Z$226,Y$2,FALSE))</f>
        <v/>
      </c>
      <c r="Z56" s="370" t="str">
        <f>IF(VLOOKUP($A56,'Pre-Assessment Estimator'!$A$10:$Z$226,Z$2,FALSE)=0,"",VLOOKUP($A56,'Pre-Assessment Estimator'!$A$10:$Z$226,Z$2,FALSE))</f>
        <v/>
      </c>
      <c r="AA56" s="696">
        <v>46</v>
      </c>
      <c r="AB56" s="577"/>
      <c r="AF56" s="386">
        <f t="shared" si="0"/>
        <v>1</v>
      </c>
      <c r="AN56" s="386"/>
      <c r="AO56" s="386"/>
      <c r="AP56" s="386"/>
    </row>
    <row r="57" spans="1:42" x14ac:dyDescent="0.25">
      <c r="A57" s="823">
        <v>48</v>
      </c>
      <c r="B57" s="1234" t="s">
        <v>65</v>
      </c>
      <c r="C57" s="1234"/>
      <c r="D57" s="1257" t="str">
        <f>VLOOKUP($A57,'Pre-Assessment Estimator'!$A$10:$Z$226,D$2,FALSE)</f>
        <v>Hea 05</v>
      </c>
      <c r="E57" s="1258" t="str">
        <f>VLOOKUP($A57,'Pre-Assessment Estimator'!$A$10:$Z$226,E$2,FALSE)</f>
        <v xml:space="preserve">Sound class requirements </v>
      </c>
      <c r="F57" s="574">
        <f>VLOOKUP($A57,'Pre-Assessment Estimator'!$A$10:$Z$226,F$2,FALSE)</f>
        <v>3</v>
      </c>
      <c r="G57" s="580" t="str">
        <f>IF(VLOOKUP($A57,'Pre-Assessment Estimator'!$A$10:$Z$226,G$2,FALSE)=0,"",VLOOKUP($A57,'Pre-Assessment Estimator'!$A$10:$Z$226,G$2,FALSE))</f>
        <v/>
      </c>
      <c r="H57" s="1220">
        <f>VLOOKUP($A57,'Pre-Assessment Estimator'!$A$10:$Z$226,H$2,FALSE)</f>
        <v>0</v>
      </c>
      <c r="I57" s="576" t="str">
        <f>VLOOKUP($A57,'Pre-Assessment Estimator'!$A$10:$Z$226,I$2,FALSE)</f>
        <v>N/A</v>
      </c>
      <c r="J57" s="577" t="str">
        <f>IF(VLOOKUP($A57,'Pre-Assessment Estimator'!$A$10:$Z$226,J$2,FALSE)=0,"",VLOOKUP($A57,'Pre-Assessment Estimator'!$A$10:$Z$226,J$2,FALSE))</f>
        <v/>
      </c>
      <c r="K57" s="577" t="str">
        <f>IF(VLOOKUP($A57,'Pre-Assessment Estimator'!$A$10:$Z$226,K$2,FALSE)=0,"",VLOOKUP($A57,'Pre-Assessment Estimator'!$A$10:$Z$226,K$2,FALSE))</f>
        <v/>
      </c>
      <c r="L57" s="578" t="str">
        <f>IF(VLOOKUP($A57,'Pre-Assessment Estimator'!$A$10:$Z$226,L$2,FALSE)=0,"",VLOOKUP($A57,'Pre-Assessment Estimator'!$A$10:$Z$226,L$2,FALSE))</f>
        <v/>
      </c>
      <c r="M57" s="579"/>
      <c r="N57" s="580" t="str">
        <f>IF(VLOOKUP($A57,'Pre-Assessment Estimator'!$A$10:$Z$226,N$2,FALSE)=0,"",VLOOKUP($A57,'Pre-Assessment Estimator'!$A$10:$Z$226,N$2,FALSE))</f>
        <v/>
      </c>
      <c r="O57" s="575">
        <f>VLOOKUP($A57,'Pre-Assessment Estimator'!$A$10:$Z$226,O$2,FALSE)</f>
        <v>0</v>
      </c>
      <c r="P57" s="574" t="str">
        <f>VLOOKUP($A57,'Pre-Assessment Estimator'!$A$10:$Z$226,P$2,FALSE)</f>
        <v>N/A</v>
      </c>
      <c r="Q57" s="577" t="str">
        <f>IF(VLOOKUP($A57,'Pre-Assessment Estimator'!$A$10:$Z$226,Q$2,FALSE)=0,"",VLOOKUP($A57,'Pre-Assessment Estimator'!$A$10:$Z$226,Q$2,FALSE))</f>
        <v/>
      </c>
      <c r="R57" s="577" t="str">
        <f>IF(VLOOKUP($A57,'Pre-Assessment Estimator'!$A$10:$Z$226,R$2,FALSE)=0,"",VLOOKUP($A57,'Pre-Assessment Estimator'!$A$10:$Z$226,R$2,FALSE))</f>
        <v/>
      </c>
      <c r="S57" s="578" t="str">
        <f>IF(VLOOKUP($A57,'Pre-Assessment Estimator'!$A$10:$Z$226,S$2,FALSE)=0,"",VLOOKUP($A57,'Pre-Assessment Estimator'!$A$10:$Z$226,S$2,FALSE))</f>
        <v/>
      </c>
      <c r="T57" s="581"/>
      <c r="U57" s="580" t="str">
        <f>IF(VLOOKUP($A57,'Pre-Assessment Estimator'!$A$10:$Z$226,U$2,FALSE)=0,"",VLOOKUP($A57,'Pre-Assessment Estimator'!$A$10:$Z$226,U$2,FALSE))</f>
        <v/>
      </c>
      <c r="V57" s="575">
        <f>VLOOKUP($A57,'Pre-Assessment Estimator'!$A$10:$Z$226,V$2,FALSE)</f>
        <v>0</v>
      </c>
      <c r="W57" s="574" t="str">
        <f>VLOOKUP($A57,'Pre-Assessment Estimator'!$A$10:$Z$226,W$2,FALSE)</f>
        <v>N/A</v>
      </c>
      <c r="X57" s="577" t="str">
        <f>IF(VLOOKUP($A57,'Pre-Assessment Estimator'!$A$10:$Z$226,X$2,FALSE)=0,"",VLOOKUP($A57,'Pre-Assessment Estimator'!$A$10:$Z$226,X$2,FALSE))</f>
        <v/>
      </c>
      <c r="Y57" s="577" t="str">
        <f>IF(VLOOKUP($A57,'Pre-Assessment Estimator'!$A$10:$Z$226,Y$2,FALSE)=0,"",VLOOKUP($A57,'Pre-Assessment Estimator'!$A$10:$Z$226,Y$2,FALSE))</f>
        <v/>
      </c>
      <c r="Z57" s="370" t="str">
        <f>IF(VLOOKUP($A57,'Pre-Assessment Estimator'!$A$10:$Z$226,Z$2,FALSE)=0,"",VLOOKUP($A57,'Pre-Assessment Estimator'!$A$10:$Z$226,Z$2,FALSE))</f>
        <v/>
      </c>
      <c r="AA57" s="696">
        <v>47</v>
      </c>
      <c r="AB57" s="577"/>
      <c r="AF57" s="386">
        <f t="shared" si="0"/>
        <v>1</v>
      </c>
      <c r="AN57" s="386"/>
      <c r="AO57" s="386"/>
      <c r="AP57" s="386"/>
    </row>
    <row r="58" spans="1:42" x14ac:dyDescent="0.25">
      <c r="A58" s="823">
        <v>49</v>
      </c>
      <c r="B58" s="1234" t="s">
        <v>65</v>
      </c>
      <c r="C58" s="1234"/>
      <c r="D58" s="1256" t="str">
        <f>VLOOKUP($A58,'Pre-Assessment Estimator'!$A$10:$Z$226,D$2,FALSE)</f>
        <v>Hea 06</v>
      </c>
      <c r="E58" s="1256" t="str">
        <f>VLOOKUP($A58,'Pre-Assessment Estimator'!$A$10:$Z$226,E$2,FALSE)</f>
        <v>Hea 06 Safe access</v>
      </c>
      <c r="F58" s="574">
        <f>VLOOKUP($A58,'Pre-Assessment Estimator'!$A$10:$Z$226,F$2,FALSE)</f>
        <v>2</v>
      </c>
      <c r="G58" s="580" t="str">
        <f>IF(VLOOKUP($A58,'Pre-Assessment Estimator'!$A$10:$Z$226,G$2,FALSE)=0,"",VLOOKUP($A58,'Pre-Assessment Estimator'!$A$10:$Z$226,G$2,FALSE))</f>
        <v/>
      </c>
      <c r="H58" s="1220" t="str">
        <f>VLOOKUP($A58,'Pre-Assessment Estimator'!$A$10:$Z$226,H$2,FALSE)</f>
        <v>0 c. 0 %</v>
      </c>
      <c r="I58" s="576" t="str">
        <f>VLOOKUP($A58,'Pre-Assessment Estimator'!$A$10:$Z$226,I$2,FALSE)</f>
        <v>N/A</v>
      </c>
      <c r="J58" s="577" t="str">
        <f>IF(VLOOKUP($A58,'Pre-Assessment Estimator'!$A$10:$Z$226,J$2,FALSE)=0,"",VLOOKUP($A58,'Pre-Assessment Estimator'!$A$10:$Z$226,J$2,FALSE))</f>
        <v/>
      </c>
      <c r="K58" s="577" t="str">
        <f>IF(VLOOKUP($A58,'Pre-Assessment Estimator'!$A$10:$Z$226,K$2,FALSE)=0,"",VLOOKUP($A58,'Pre-Assessment Estimator'!$A$10:$Z$226,K$2,FALSE))</f>
        <v/>
      </c>
      <c r="L58" s="578" t="str">
        <f>IF(VLOOKUP($A58,'Pre-Assessment Estimator'!$A$10:$Z$226,L$2,FALSE)=0,"",VLOOKUP($A58,'Pre-Assessment Estimator'!$A$10:$Z$226,L$2,FALSE))</f>
        <v/>
      </c>
      <c r="M58" s="579"/>
      <c r="N58" s="580" t="str">
        <f>IF(VLOOKUP($A58,'Pre-Assessment Estimator'!$A$10:$Z$226,N$2,FALSE)=0,"",VLOOKUP($A58,'Pre-Assessment Estimator'!$A$10:$Z$226,N$2,FALSE))</f>
        <v/>
      </c>
      <c r="O58" s="575" t="str">
        <f>VLOOKUP($A58,'Pre-Assessment Estimator'!$A$10:$Z$226,O$2,FALSE)</f>
        <v>0 c. 0 %</v>
      </c>
      <c r="P58" s="574" t="str">
        <f>VLOOKUP($A58,'Pre-Assessment Estimator'!$A$10:$Z$226,P$2,FALSE)</f>
        <v>N/A</v>
      </c>
      <c r="Q58" s="577" t="str">
        <f>IF(VLOOKUP($A58,'Pre-Assessment Estimator'!$A$10:$Z$226,Q$2,FALSE)=0,"",VLOOKUP($A58,'Pre-Assessment Estimator'!$A$10:$Z$226,Q$2,FALSE))</f>
        <v/>
      </c>
      <c r="R58" s="577" t="str">
        <f>IF(VLOOKUP($A58,'Pre-Assessment Estimator'!$A$10:$Z$226,R$2,FALSE)=0,"",VLOOKUP($A58,'Pre-Assessment Estimator'!$A$10:$Z$226,R$2,FALSE))</f>
        <v/>
      </c>
      <c r="S58" s="578" t="str">
        <f>IF(VLOOKUP($A58,'Pre-Assessment Estimator'!$A$10:$Z$226,S$2,FALSE)=0,"",VLOOKUP($A58,'Pre-Assessment Estimator'!$A$10:$Z$226,S$2,FALSE))</f>
        <v/>
      </c>
      <c r="T58" s="581"/>
      <c r="U58" s="580" t="str">
        <f>IF(VLOOKUP($A58,'Pre-Assessment Estimator'!$A$10:$Z$226,U$2,FALSE)=0,"",VLOOKUP($A58,'Pre-Assessment Estimator'!$A$10:$Z$226,U$2,FALSE))</f>
        <v/>
      </c>
      <c r="V58" s="575" t="str">
        <f>VLOOKUP($A58,'Pre-Assessment Estimator'!$A$10:$Z$226,V$2,FALSE)</f>
        <v>0 c. 0 %</v>
      </c>
      <c r="W58" s="574" t="str">
        <f>VLOOKUP($A58,'Pre-Assessment Estimator'!$A$10:$Z$226,W$2,FALSE)</f>
        <v>N/A</v>
      </c>
      <c r="X58" s="577" t="str">
        <f>IF(VLOOKUP($A58,'Pre-Assessment Estimator'!$A$10:$Z$226,X$2,FALSE)=0,"",VLOOKUP($A58,'Pre-Assessment Estimator'!$A$10:$Z$226,X$2,FALSE))</f>
        <v/>
      </c>
      <c r="Y58" s="577" t="str">
        <f>IF(VLOOKUP($A58,'Pre-Assessment Estimator'!$A$10:$Z$226,Y$2,FALSE)=0,"",VLOOKUP($A58,'Pre-Assessment Estimator'!$A$10:$Z$226,Y$2,FALSE))</f>
        <v/>
      </c>
      <c r="Z58" s="370" t="str">
        <f>IF(VLOOKUP($A58,'Pre-Assessment Estimator'!$A$10:$Z$226,Z$2,FALSE)=0,"",VLOOKUP($A58,'Pre-Assessment Estimator'!$A$10:$Z$226,Z$2,FALSE))</f>
        <v/>
      </c>
      <c r="AA58" s="696">
        <v>48</v>
      </c>
      <c r="AB58" s="577"/>
      <c r="AF58" s="386">
        <f t="shared" si="0"/>
        <v>1</v>
      </c>
      <c r="AN58" s="386"/>
      <c r="AO58" s="386"/>
      <c r="AP58" s="386"/>
    </row>
    <row r="59" spans="1:42" x14ac:dyDescent="0.25">
      <c r="A59" s="823">
        <v>50</v>
      </c>
      <c r="B59" s="1234" t="s">
        <v>65</v>
      </c>
      <c r="C59" s="1234"/>
      <c r="D59" s="1257" t="str">
        <f>VLOOKUP($A59,'Pre-Assessment Estimator'!$A$10:$Z$226,D$2,FALSE)</f>
        <v>Hea 06</v>
      </c>
      <c r="E59" s="1258" t="str">
        <f>VLOOKUP($A59,'Pre-Assessment Estimator'!$A$10:$Z$226,E$2,FALSE)</f>
        <v xml:space="preserve">Inclusive design </v>
      </c>
      <c r="F59" s="574">
        <f>VLOOKUP($A59,'Pre-Assessment Estimator'!$A$10:$Z$226,F$2,FALSE)</f>
        <v>1</v>
      </c>
      <c r="G59" s="580" t="str">
        <f>IF(VLOOKUP($A59,'Pre-Assessment Estimator'!$A$10:$Z$226,G$2,FALSE)=0,"",VLOOKUP($A59,'Pre-Assessment Estimator'!$A$10:$Z$226,G$2,FALSE))</f>
        <v/>
      </c>
      <c r="H59" s="1220">
        <f>VLOOKUP($A59,'Pre-Assessment Estimator'!$A$10:$Z$226,H$2,FALSE)</f>
        <v>0</v>
      </c>
      <c r="I59" s="576" t="str">
        <f>VLOOKUP($A59,'Pre-Assessment Estimator'!$A$10:$Z$226,I$2,FALSE)</f>
        <v>N/A</v>
      </c>
      <c r="J59" s="577" t="str">
        <f>IF(VLOOKUP($A59,'Pre-Assessment Estimator'!$A$10:$Z$226,J$2,FALSE)=0,"",VLOOKUP($A59,'Pre-Assessment Estimator'!$A$10:$Z$226,J$2,FALSE))</f>
        <v/>
      </c>
      <c r="K59" s="577" t="str">
        <f>IF(VLOOKUP($A59,'Pre-Assessment Estimator'!$A$10:$Z$226,K$2,FALSE)=0,"",VLOOKUP($A59,'Pre-Assessment Estimator'!$A$10:$Z$226,K$2,FALSE))</f>
        <v/>
      </c>
      <c r="L59" s="578" t="str">
        <f>IF(VLOOKUP($A59,'Pre-Assessment Estimator'!$A$10:$Z$226,L$2,FALSE)=0,"",VLOOKUP($A59,'Pre-Assessment Estimator'!$A$10:$Z$226,L$2,FALSE))</f>
        <v/>
      </c>
      <c r="M59" s="579"/>
      <c r="N59" s="580" t="str">
        <f>IF(VLOOKUP($A59,'Pre-Assessment Estimator'!$A$10:$Z$226,N$2,FALSE)=0,"",VLOOKUP($A59,'Pre-Assessment Estimator'!$A$10:$Z$226,N$2,FALSE))</f>
        <v/>
      </c>
      <c r="O59" s="575">
        <f>VLOOKUP($A59,'Pre-Assessment Estimator'!$A$10:$Z$226,O$2,FALSE)</f>
        <v>0</v>
      </c>
      <c r="P59" s="574" t="str">
        <f>VLOOKUP($A59,'Pre-Assessment Estimator'!$A$10:$Z$226,P$2,FALSE)</f>
        <v>N/A</v>
      </c>
      <c r="Q59" s="577" t="str">
        <f>IF(VLOOKUP($A59,'Pre-Assessment Estimator'!$A$10:$Z$226,Q$2,FALSE)=0,"",VLOOKUP($A59,'Pre-Assessment Estimator'!$A$10:$Z$226,Q$2,FALSE))</f>
        <v/>
      </c>
      <c r="R59" s="577" t="str">
        <f>IF(VLOOKUP($A59,'Pre-Assessment Estimator'!$A$10:$Z$226,R$2,FALSE)=0,"",VLOOKUP($A59,'Pre-Assessment Estimator'!$A$10:$Z$226,R$2,FALSE))</f>
        <v/>
      </c>
      <c r="S59" s="578" t="str">
        <f>IF(VLOOKUP($A59,'Pre-Assessment Estimator'!$A$10:$Z$226,S$2,FALSE)=0,"",VLOOKUP($A59,'Pre-Assessment Estimator'!$A$10:$Z$226,S$2,FALSE))</f>
        <v/>
      </c>
      <c r="T59" s="581"/>
      <c r="U59" s="580" t="str">
        <f>IF(VLOOKUP($A59,'Pre-Assessment Estimator'!$A$10:$Z$226,U$2,FALSE)=0,"",VLOOKUP($A59,'Pre-Assessment Estimator'!$A$10:$Z$226,U$2,FALSE))</f>
        <v/>
      </c>
      <c r="V59" s="575">
        <f>VLOOKUP($A59,'Pre-Assessment Estimator'!$A$10:$Z$226,V$2,FALSE)</f>
        <v>0</v>
      </c>
      <c r="W59" s="574" t="str">
        <f>VLOOKUP($A59,'Pre-Assessment Estimator'!$A$10:$Z$226,W$2,FALSE)</f>
        <v>N/A</v>
      </c>
      <c r="X59" s="577" t="str">
        <f>IF(VLOOKUP($A59,'Pre-Assessment Estimator'!$A$10:$Z$226,X$2,FALSE)=0,"",VLOOKUP($A59,'Pre-Assessment Estimator'!$A$10:$Z$226,X$2,FALSE))</f>
        <v/>
      </c>
      <c r="Y59" s="577" t="str">
        <f>IF(VLOOKUP($A59,'Pre-Assessment Estimator'!$A$10:$Z$226,Y$2,FALSE)=0,"",VLOOKUP($A59,'Pre-Assessment Estimator'!$A$10:$Z$226,Y$2,FALSE))</f>
        <v/>
      </c>
      <c r="Z59" s="370" t="str">
        <f>IF(VLOOKUP($A59,'Pre-Assessment Estimator'!$A$10:$Z$226,Z$2,FALSE)=0,"",VLOOKUP($A59,'Pre-Assessment Estimator'!$A$10:$Z$226,Z$2,FALSE))</f>
        <v/>
      </c>
      <c r="AA59" s="696">
        <v>49</v>
      </c>
      <c r="AB59" s="577"/>
      <c r="AF59" s="386">
        <f t="shared" si="0"/>
        <v>1</v>
      </c>
      <c r="AN59" s="386"/>
      <c r="AO59" s="386"/>
      <c r="AP59" s="386"/>
    </row>
    <row r="60" spans="1:42" x14ac:dyDescent="0.25">
      <c r="A60" s="823">
        <v>51</v>
      </c>
      <c r="B60" s="1234" t="s">
        <v>65</v>
      </c>
      <c r="C60" s="1234"/>
      <c r="D60" s="1257" t="str">
        <f>VLOOKUP($A60,'Pre-Assessment Estimator'!$A$10:$Z$226,D$2,FALSE)</f>
        <v>Hea 06</v>
      </c>
      <c r="E60" s="1258" t="str">
        <f>VLOOKUP($A60,'Pre-Assessment Estimator'!$A$10:$Z$226,E$2,FALSE)</f>
        <v xml:space="preserve">Biofilik design </v>
      </c>
      <c r="F60" s="574">
        <f>VLOOKUP($A60,'Pre-Assessment Estimator'!$A$10:$Z$226,F$2,FALSE)</f>
        <v>1</v>
      </c>
      <c r="G60" s="580" t="str">
        <f>IF(VLOOKUP($A60,'Pre-Assessment Estimator'!$A$10:$Z$226,G$2,FALSE)=0,"",VLOOKUP($A60,'Pre-Assessment Estimator'!$A$10:$Z$226,G$2,FALSE))</f>
        <v/>
      </c>
      <c r="H60" s="1220">
        <f>VLOOKUP($A60,'Pre-Assessment Estimator'!$A$10:$Z$226,H$2,FALSE)</f>
        <v>0</v>
      </c>
      <c r="I60" s="576" t="str">
        <f>VLOOKUP($A60,'Pre-Assessment Estimator'!$A$10:$Z$226,I$2,FALSE)</f>
        <v>N/A</v>
      </c>
      <c r="J60" s="577" t="str">
        <f>IF(VLOOKUP($A60,'Pre-Assessment Estimator'!$A$10:$Z$226,J$2,FALSE)=0,"",VLOOKUP($A60,'Pre-Assessment Estimator'!$A$10:$Z$226,J$2,FALSE))</f>
        <v/>
      </c>
      <c r="K60" s="577" t="str">
        <f>IF(VLOOKUP($A60,'Pre-Assessment Estimator'!$A$10:$Z$226,K$2,FALSE)=0,"",VLOOKUP($A60,'Pre-Assessment Estimator'!$A$10:$Z$226,K$2,FALSE))</f>
        <v/>
      </c>
      <c r="L60" s="578" t="str">
        <f>IF(VLOOKUP($A60,'Pre-Assessment Estimator'!$A$10:$Z$226,L$2,FALSE)=0,"",VLOOKUP($A60,'Pre-Assessment Estimator'!$A$10:$Z$226,L$2,FALSE))</f>
        <v/>
      </c>
      <c r="M60" s="579"/>
      <c r="N60" s="580" t="str">
        <f>IF(VLOOKUP($A60,'Pre-Assessment Estimator'!$A$10:$Z$226,N$2,FALSE)=0,"",VLOOKUP($A60,'Pre-Assessment Estimator'!$A$10:$Z$226,N$2,FALSE))</f>
        <v/>
      </c>
      <c r="O60" s="575">
        <f>VLOOKUP($A60,'Pre-Assessment Estimator'!$A$10:$Z$226,O$2,FALSE)</f>
        <v>0</v>
      </c>
      <c r="P60" s="574" t="str">
        <f>VLOOKUP($A60,'Pre-Assessment Estimator'!$A$10:$Z$226,P$2,FALSE)</f>
        <v>N/A</v>
      </c>
      <c r="Q60" s="577" t="str">
        <f>IF(VLOOKUP($A60,'Pre-Assessment Estimator'!$A$10:$Z$226,Q$2,FALSE)=0,"",VLOOKUP($A60,'Pre-Assessment Estimator'!$A$10:$Z$226,Q$2,FALSE))</f>
        <v/>
      </c>
      <c r="R60" s="577" t="str">
        <f>IF(VLOOKUP($A60,'Pre-Assessment Estimator'!$A$10:$Z$226,R$2,FALSE)=0,"",VLOOKUP($A60,'Pre-Assessment Estimator'!$A$10:$Z$226,R$2,FALSE))</f>
        <v/>
      </c>
      <c r="S60" s="578" t="str">
        <f>IF(VLOOKUP($A60,'Pre-Assessment Estimator'!$A$10:$Z$226,S$2,FALSE)=0,"",VLOOKUP($A60,'Pre-Assessment Estimator'!$A$10:$Z$226,S$2,FALSE))</f>
        <v/>
      </c>
      <c r="T60" s="581"/>
      <c r="U60" s="580" t="str">
        <f>IF(VLOOKUP($A60,'Pre-Assessment Estimator'!$A$10:$Z$226,U$2,FALSE)=0,"",VLOOKUP($A60,'Pre-Assessment Estimator'!$A$10:$Z$226,U$2,FALSE))</f>
        <v/>
      </c>
      <c r="V60" s="575">
        <f>VLOOKUP($A60,'Pre-Assessment Estimator'!$A$10:$Z$226,V$2,FALSE)</f>
        <v>0</v>
      </c>
      <c r="W60" s="574" t="str">
        <f>VLOOKUP($A60,'Pre-Assessment Estimator'!$A$10:$Z$226,W$2,FALSE)</f>
        <v>N/A</v>
      </c>
      <c r="X60" s="577" t="str">
        <f>IF(VLOOKUP($A60,'Pre-Assessment Estimator'!$A$10:$Z$226,X$2,FALSE)=0,"",VLOOKUP($A60,'Pre-Assessment Estimator'!$A$10:$Z$226,X$2,FALSE))</f>
        <v/>
      </c>
      <c r="Y60" s="577" t="str">
        <f>IF(VLOOKUP($A60,'Pre-Assessment Estimator'!$A$10:$Z$226,Y$2,FALSE)=0,"",VLOOKUP($A60,'Pre-Assessment Estimator'!$A$10:$Z$226,Y$2,FALSE))</f>
        <v/>
      </c>
      <c r="Z60" s="370" t="str">
        <f>IF(VLOOKUP($A60,'Pre-Assessment Estimator'!$A$10:$Z$226,Z$2,FALSE)=0,"",VLOOKUP($A60,'Pre-Assessment Estimator'!$A$10:$Z$226,Z$2,FALSE))</f>
        <v/>
      </c>
      <c r="AA60" s="696">
        <v>50</v>
      </c>
      <c r="AB60" s="577"/>
      <c r="AF60" s="386">
        <f t="shared" si="0"/>
        <v>1</v>
      </c>
      <c r="AN60" s="386"/>
      <c r="AO60" s="386"/>
      <c r="AP60" s="386"/>
    </row>
    <row r="61" spans="1:42" x14ac:dyDescent="0.25">
      <c r="A61" s="823">
        <v>52</v>
      </c>
      <c r="B61" s="1234" t="s">
        <v>65</v>
      </c>
      <c r="C61" s="1234"/>
      <c r="D61" s="1256" t="str">
        <f>VLOOKUP($A61,'Pre-Assessment Estimator'!$A$10:$Z$226,D$2,FALSE)</f>
        <v>Hea 08</v>
      </c>
      <c r="E61" s="1256" t="str">
        <f>VLOOKUP($A61,'Pre-Assessment Estimator'!$A$10:$Z$226,E$2,FALSE)</f>
        <v>Hea 08 Private space</v>
      </c>
      <c r="F61" s="574">
        <f>VLOOKUP($A61,'Pre-Assessment Estimator'!$A$10:$Z$226,F$2,FALSE)</f>
        <v>0</v>
      </c>
      <c r="G61" s="580" t="str">
        <f>IF(VLOOKUP($A61,'Pre-Assessment Estimator'!$A$10:$Z$226,G$2,FALSE)=0,"",VLOOKUP($A61,'Pre-Assessment Estimator'!$A$10:$Z$226,G$2,FALSE))</f>
        <v/>
      </c>
      <c r="H61" s="1220" t="str">
        <f>VLOOKUP($A61,'Pre-Assessment Estimator'!$A$10:$Z$226,H$2,FALSE)</f>
        <v>0 c. 0 %</v>
      </c>
      <c r="I61" s="576" t="str">
        <f>VLOOKUP($A61,'Pre-Assessment Estimator'!$A$10:$Z$226,I$2,FALSE)</f>
        <v>N/A</v>
      </c>
      <c r="J61" s="577" t="str">
        <f>IF(VLOOKUP($A61,'Pre-Assessment Estimator'!$A$10:$Z$226,J$2,FALSE)=0,"",VLOOKUP($A61,'Pre-Assessment Estimator'!$A$10:$Z$226,J$2,FALSE))</f>
        <v/>
      </c>
      <c r="K61" s="577" t="str">
        <f>IF(VLOOKUP($A61,'Pre-Assessment Estimator'!$A$10:$Z$226,K$2,FALSE)=0,"",VLOOKUP($A61,'Pre-Assessment Estimator'!$A$10:$Z$226,K$2,FALSE))</f>
        <v/>
      </c>
      <c r="L61" s="578" t="str">
        <f>IF(VLOOKUP($A61,'Pre-Assessment Estimator'!$A$10:$Z$226,L$2,FALSE)=0,"",VLOOKUP($A61,'Pre-Assessment Estimator'!$A$10:$Z$226,L$2,FALSE))</f>
        <v/>
      </c>
      <c r="M61" s="579"/>
      <c r="N61" s="580" t="str">
        <f>IF(VLOOKUP($A61,'Pre-Assessment Estimator'!$A$10:$Z$226,N$2,FALSE)=0,"",VLOOKUP($A61,'Pre-Assessment Estimator'!$A$10:$Z$226,N$2,FALSE))</f>
        <v/>
      </c>
      <c r="O61" s="575" t="str">
        <f>VLOOKUP($A61,'Pre-Assessment Estimator'!$A$10:$Z$226,O$2,FALSE)</f>
        <v>0 c. 0 %</v>
      </c>
      <c r="P61" s="574" t="str">
        <f>VLOOKUP($A61,'Pre-Assessment Estimator'!$A$10:$Z$226,P$2,FALSE)</f>
        <v>N/A</v>
      </c>
      <c r="Q61" s="577" t="str">
        <f>IF(VLOOKUP($A61,'Pre-Assessment Estimator'!$A$10:$Z$226,Q$2,FALSE)=0,"",VLOOKUP($A61,'Pre-Assessment Estimator'!$A$10:$Z$226,Q$2,FALSE))</f>
        <v/>
      </c>
      <c r="R61" s="577" t="str">
        <f>IF(VLOOKUP($A61,'Pre-Assessment Estimator'!$A$10:$Z$226,R$2,FALSE)=0,"",VLOOKUP($A61,'Pre-Assessment Estimator'!$A$10:$Z$226,R$2,FALSE))</f>
        <v/>
      </c>
      <c r="S61" s="578" t="str">
        <f>IF(VLOOKUP($A61,'Pre-Assessment Estimator'!$A$10:$Z$226,S$2,FALSE)=0,"",VLOOKUP($A61,'Pre-Assessment Estimator'!$A$10:$Z$226,S$2,FALSE))</f>
        <v/>
      </c>
      <c r="T61" s="581"/>
      <c r="U61" s="580" t="str">
        <f>IF(VLOOKUP($A61,'Pre-Assessment Estimator'!$A$10:$Z$226,U$2,FALSE)=0,"",VLOOKUP($A61,'Pre-Assessment Estimator'!$A$10:$Z$226,U$2,FALSE))</f>
        <v/>
      </c>
      <c r="V61" s="575" t="str">
        <f>VLOOKUP($A61,'Pre-Assessment Estimator'!$A$10:$Z$226,V$2,FALSE)</f>
        <v>0 c. 0 %</v>
      </c>
      <c r="W61" s="574" t="str">
        <f>VLOOKUP($A61,'Pre-Assessment Estimator'!$A$10:$Z$226,W$2,FALSE)</f>
        <v>N/A</v>
      </c>
      <c r="X61" s="577" t="str">
        <f>IF(VLOOKUP($A61,'Pre-Assessment Estimator'!$A$10:$Z$226,X$2,FALSE)=0,"",VLOOKUP($A61,'Pre-Assessment Estimator'!$A$10:$Z$226,X$2,FALSE))</f>
        <v/>
      </c>
      <c r="Y61" s="577" t="str">
        <f>IF(VLOOKUP($A61,'Pre-Assessment Estimator'!$A$10:$Z$226,Y$2,FALSE)=0,"",VLOOKUP($A61,'Pre-Assessment Estimator'!$A$10:$Z$226,Y$2,FALSE))</f>
        <v/>
      </c>
      <c r="Z61" s="370" t="str">
        <f>IF(VLOOKUP($A61,'Pre-Assessment Estimator'!$A$10:$Z$226,Z$2,FALSE)=0,"",VLOOKUP($A61,'Pre-Assessment Estimator'!$A$10:$Z$226,Z$2,FALSE))</f>
        <v/>
      </c>
      <c r="AA61" s="696">
        <v>51</v>
      </c>
      <c r="AB61" s="577"/>
      <c r="AF61" s="386">
        <f t="shared" si="0"/>
        <v>2</v>
      </c>
      <c r="AN61" s="386"/>
      <c r="AO61" s="386"/>
      <c r="AP61" s="386"/>
    </row>
    <row r="62" spans="1:42" x14ac:dyDescent="0.25">
      <c r="A62" s="823">
        <v>53</v>
      </c>
      <c r="B62" s="1234" t="s">
        <v>65</v>
      </c>
      <c r="C62" s="1234"/>
      <c r="D62" s="1257" t="str">
        <f>VLOOKUP($A62,'Pre-Assessment Estimator'!$A$10:$Z$226,D$2,FALSE)</f>
        <v>Hea 08</v>
      </c>
      <c r="E62" s="1258" t="str">
        <f>VLOOKUP($A62,'Pre-Assessment Estimator'!$A$10:$Z$226,E$2,FALSE)</f>
        <v xml:space="preserve">Private outdoor spaces </v>
      </c>
      <c r="F62" s="574">
        <f>VLOOKUP($A62,'Pre-Assessment Estimator'!$A$10:$Z$226,F$2,FALSE)</f>
        <v>0</v>
      </c>
      <c r="G62" s="580" t="str">
        <f>IF(VLOOKUP($A62,'Pre-Assessment Estimator'!$A$10:$Z$226,G$2,FALSE)=0,"",VLOOKUP($A62,'Pre-Assessment Estimator'!$A$10:$Z$226,G$2,FALSE))</f>
        <v/>
      </c>
      <c r="H62" s="1220">
        <f>VLOOKUP($A62,'Pre-Assessment Estimator'!$A$10:$Z$226,H$2,FALSE)</f>
        <v>0</v>
      </c>
      <c r="I62" s="576" t="str">
        <f>VLOOKUP($A62,'Pre-Assessment Estimator'!$A$10:$Z$226,I$2,FALSE)</f>
        <v>N/A</v>
      </c>
      <c r="J62" s="577" t="str">
        <f>IF(VLOOKUP($A62,'Pre-Assessment Estimator'!$A$10:$Z$226,J$2,FALSE)=0,"",VLOOKUP($A62,'Pre-Assessment Estimator'!$A$10:$Z$226,J$2,FALSE))</f>
        <v/>
      </c>
      <c r="K62" s="577" t="str">
        <f>IF(VLOOKUP($A62,'Pre-Assessment Estimator'!$A$10:$Z$226,K$2,FALSE)=0,"",VLOOKUP($A62,'Pre-Assessment Estimator'!$A$10:$Z$226,K$2,FALSE))</f>
        <v/>
      </c>
      <c r="L62" s="578" t="str">
        <f>IF(VLOOKUP($A62,'Pre-Assessment Estimator'!$A$10:$Z$226,L$2,FALSE)=0,"",VLOOKUP($A62,'Pre-Assessment Estimator'!$A$10:$Z$226,L$2,FALSE))</f>
        <v/>
      </c>
      <c r="M62" s="579"/>
      <c r="N62" s="580" t="str">
        <f>IF(VLOOKUP($A62,'Pre-Assessment Estimator'!$A$10:$Z$226,N$2,FALSE)=0,"",VLOOKUP($A62,'Pre-Assessment Estimator'!$A$10:$Z$226,N$2,FALSE))</f>
        <v/>
      </c>
      <c r="O62" s="575">
        <f>VLOOKUP($A62,'Pre-Assessment Estimator'!$A$10:$Z$226,O$2,FALSE)</f>
        <v>0</v>
      </c>
      <c r="P62" s="574" t="str">
        <f>VLOOKUP($A62,'Pre-Assessment Estimator'!$A$10:$Z$226,P$2,FALSE)</f>
        <v>N/A</v>
      </c>
      <c r="Q62" s="577" t="str">
        <f>IF(VLOOKUP($A62,'Pre-Assessment Estimator'!$A$10:$Z$226,Q$2,FALSE)=0,"",VLOOKUP($A62,'Pre-Assessment Estimator'!$A$10:$Z$226,Q$2,FALSE))</f>
        <v/>
      </c>
      <c r="R62" s="577" t="str">
        <f>IF(VLOOKUP($A62,'Pre-Assessment Estimator'!$A$10:$Z$226,R$2,FALSE)=0,"",VLOOKUP($A62,'Pre-Assessment Estimator'!$A$10:$Z$226,R$2,FALSE))</f>
        <v/>
      </c>
      <c r="S62" s="578" t="str">
        <f>IF(VLOOKUP($A62,'Pre-Assessment Estimator'!$A$10:$Z$226,S$2,FALSE)=0,"",VLOOKUP($A62,'Pre-Assessment Estimator'!$A$10:$Z$226,S$2,FALSE))</f>
        <v/>
      </c>
      <c r="T62" s="581"/>
      <c r="U62" s="580" t="str">
        <f>IF(VLOOKUP($A62,'Pre-Assessment Estimator'!$A$10:$Z$226,U$2,FALSE)=0,"",VLOOKUP($A62,'Pre-Assessment Estimator'!$A$10:$Z$226,U$2,FALSE))</f>
        <v/>
      </c>
      <c r="V62" s="575">
        <f>VLOOKUP($A62,'Pre-Assessment Estimator'!$A$10:$Z$226,V$2,FALSE)</f>
        <v>0</v>
      </c>
      <c r="W62" s="574" t="str">
        <f>VLOOKUP($A62,'Pre-Assessment Estimator'!$A$10:$Z$226,W$2,FALSE)</f>
        <v>N/A</v>
      </c>
      <c r="X62" s="577" t="str">
        <f>IF(VLOOKUP($A62,'Pre-Assessment Estimator'!$A$10:$Z$226,X$2,FALSE)=0,"",VLOOKUP($A62,'Pre-Assessment Estimator'!$A$10:$Z$226,X$2,FALSE))</f>
        <v/>
      </c>
      <c r="Y62" s="577" t="str">
        <f>IF(VLOOKUP($A62,'Pre-Assessment Estimator'!$A$10:$Z$226,Y$2,FALSE)=0,"",VLOOKUP($A62,'Pre-Assessment Estimator'!$A$10:$Z$226,Y$2,FALSE))</f>
        <v/>
      </c>
      <c r="Z62" s="370" t="str">
        <f>IF(VLOOKUP($A62,'Pre-Assessment Estimator'!$A$10:$Z$226,Z$2,FALSE)=0,"",VLOOKUP($A62,'Pre-Assessment Estimator'!$A$10:$Z$226,Z$2,FALSE))</f>
        <v/>
      </c>
      <c r="AA62" s="696">
        <v>52</v>
      </c>
      <c r="AB62" s="577"/>
      <c r="AF62" s="386">
        <f t="shared" si="0"/>
        <v>2</v>
      </c>
      <c r="AN62" s="386"/>
      <c r="AO62" s="386"/>
      <c r="AP62" s="386"/>
    </row>
    <row r="63" spans="1:42" ht="30" customHeight="1" thickBot="1" x14ac:dyDescent="0.3">
      <c r="A63" s="823">
        <v>54</v>
      </c>
      <c r="B63" s="1234" t="s">
        <v>65</v>
      </c>
      <c r="C63" s="1234"/>
      <c r="D63" s="1259"/>
      <c r="E63" s="1259" t="str">
        <f>VLOOKUP($A63,'Pre-Assessment Estimator'!$A$10:$Z$226,E$2,FALSE)</f>
        <v>Total performance health &amp; wellbeing</v>
      </c>
      <c r="F63" s="582">
        <f>VLOOKUP($A63,'Pre-Assessment Estimator'!$A$10:$Z$226,F$2,FALSE)</f>
        <v>19</v>
      </c>
      <c r="G63" s="584" t="str">
        <f>IF(VLOOKUP($A63,'Pre-Assessment Estimator'!$A$10:$Z$226,G$2,FALSE)=0,"",VLOOKUP($A63,'Pre-Assessment Estimator'!$A$10:$Z$226,G$2,FALSE))</f>
        <v/>
      </c>
      <c r="H63" s="583">
        <f>VLOOKUP($A63,'Pre-Assessment Estimator'!$A$10:$Z$226,H$2,FALSE)</f>
        <v>0</v>
      </c>
      <c r="I63" s="582" t="str">
        <f>VLOOKUP($A63,'Pre-Assessment Estimator'!$A$10:$Z$226,I$2,FALSE)</f>
        <v>Credits achieved: 0</v>
      </c>
      <c r="J63" s="1202" t="str">
        <f>IF(VLOOKUP($A63,'Pre-Assessment Estimator'!$A$10:$Z$226,J$2,FALSE)=0,"",VLOOKUP($A63,'Pre-Assessment Estimator'!$A$10:$Z$226,J$2,FALSE))</f>
        <v/>
      </c>
      <c r="K63" s="1202" t="str">
        <f>IF(VLOOKUP($A63,'Pre-Assessment Estimator'!$A$10:$Z$226,K$2,FALSE)=0,"",VLOOKUP($A63,'Pre-Assessment Estimator'!$A$10:$Z$226,K$2,FALSE))</f>
        <v/>
      </c>
      <c r="L63" s="1221" t="str">
        <f>IF(VLOOKUP($A63,'Pre-Assessment Estimator'!$A$10:$Z$226,L$2,FALSE)=0,"",VLOOKUP($A63,'Pre-Assessment Estimator'!$A$10:$Z$226,L$2,FALSE))</f>
        <v/>
      </c>
      <c r="M63" s="1222"/>
      <c r="N63" s="584" t="str">
        <f>IF(VLOOKUP($A63,'Pre-Assessment Estimator'!$A$10:$Z$226,N$2,FALSE)=0,"",VLOOKUP($A63,'Pre-Assessment Estimator'!$A$10:$Z$226,N$2,FALSE))</f>
        <v/>
      </c>
      <c r="O63" s="583">
        <f>VLOOKUP($A63,'Pre-Assessment Estimator'!$A$10:$Z$226,O$2,FALSE)</f>
        <v>0</v>
      </c>
      <c r="P63" s="582" t="str">
        <f>VLOOKUP($A63,'Pre-Assessment Estimator'!$A$10:$Z$226,P$2,FALSE)</f>
        <v>Credits achieved: 0</v>
      </c>
      <c r="Q63" s="1202" t="str">
        <f>IF(VLOOKUP($A63,'Pre-Assessment Estimator'!$A$10:$Z$226,Q$2,FALSE)=0,"",VLOOKUP($A63,'Pre-Assessment Estimator'!$A$10:$Z$226,Q$2,FALSE))</f>
        <v/>
      </c>
      <c r="R63" s="1202" t="str">
        <f>IF(VLOOKUP($A63,'Pre-Assessment Estimator'!$A$10:$Z$226,R$2,FALSE)=0,"",VLOOKUP($A63,'Pre-Assessment Estimator'!$A$10:$Z$226,R$2,FALSE))</f>
        <v/>
      </c>
      <c r="S63" s="1221" t="str">
        <f>IF(VLOOKUP($A63,'Pre-Assessment Estimator'!$A$10:$Z$226,S$2,FALSE)=0,"",VLOOKUP($A63,'Pre-Assessment Estimator'!$A$10:$Z$226,S$2,FALSE))</f>
        <v/>
      </c>
      <c r="T63" s="1223"/>
      <c r="U63" s="584" t="str">
        <f>IF(VLOOKUP($A63,'Pre-Assessment Estimator'!$A$10:$Z$226,U$2,FALSE)=0,"",VLOOKUP($A63,'Pre-Assessment Estimator'!$A$10:$Z$226,U$2,FALSE))</f>
        <v/>
      </c>
      <c r="V63" s="583">
        <f>VLOOKUP($A63,'Pre-Assessment Estimator'!$A$10:$Z$226,V$2,FALSE)</f>
        <v>0</v>
      </c>
      <c r="W63" s="582" t="str">
        <f>VLOOKUP($A63,'Pre-Assessment Estimator'!$A$10:$Z$226,W$2,FALSE)</f>
        <v>Credits achieved: 0</v>
      </c>
      <c r="X63" s="1202" t="str">
        <f>IF(VLOOKUP($A63,'Pre-Assessment Estimator'!$A$10:$Z$226,X$2,FALSE)=0,"",VLOOKUP($A63,'Pre-Assessment Estimator'!$A$10:$Z$226,X$2,FALSE))</f>
        <v/>
      </c>
      <c r="Y63" s="1202" t="str">
        <f>IF(VLOOKUP($A63,'Pre-Assessment Estimator'!$A$10:$Z$226,Y$2,FALSE)=0,"",VLOOKUP($A63,'Pre-Assessment Estimator'!$A$10:$Z$226,Y$2,FALSE))</f>
        <v/>
      </c>
      <c r="Z63" s="1224" t="str">
        <f>IF(VLOOKUP($A63,'Pre-Assessment Estimator'!$A$10:$Z$226,Z$2,FALSE)=0,"",VLOOKUP($A63,'Pre-Assessment Estimator'!$A$10:$Z$226,Z$2,FALSE))</f>
        <v/>
      </c>
      <c r="AA63" s="696">
        <v>53</v>
      </c>
      <c r="AB63" s="577" t="str">
        <f>IF(VLOOKUP($A63,'Pre-Assessment Estimator'!$A$10:$AB$226,AB$2,FALSE)=0,"",VLOOKUP($A63,'Pre-Assessment Estimator'!$A$10:$AB$226,AB$2,FALSE))</f>
        <v/>
      </c>
      <c r="AF63" s="386">
        <f t="shared" si="0"/>
        <v>1</v>
      </c>
    </row>
    <row r="64" spans="1:42" x14ac:dyDescent="0.25">
      <c r="A64" s="823">
        <v>55</v>
      </c>
      <c r="B64" s="1234" t="s">
        <v>65</v>
      </c>
      <c r="C64" s="1234"/>
      <c r="D64" s="585"/>
      <c r="E64" s="585"/>
      <c r="F64" s="586"/>
      <c r="G64" s="586"/>
      <c r="H64" s="586"/>
      <c r="I64" s="586"/>
      <c r="J64" s="585"/>
      <c r="K64" s="586"/>
      <c r="L64" s="585"/>
      <c r="M64" s="579"/>
      <c r="N64" s="586"/>
      <c r="O64" s="586"/>
      <c r="P64" s="586"/>
      <c r="Q64" s="585"/>
      <c r="R64" s="586"/>
      <c r="S64" s="585"/>
      <c r="T64" s="581"/>
      <c r="U64" s="586"/>
      <c r="V64" s="586"/>
      <c r="W64" s="586"/>
      <c r="X64" s="585"/>
      <c r="Y64" s="586"/>
      <c r="Z64" s="343"/>
      <c r="AA64" s="696">
        <v>54</v>
      </c>
      <c r="AB64" s="585"/>
      <c r="AC64" s="389"/>
      <c r="AD64" s="389"/>
      <c r="AE64" s="389"/>
      <c r="AF64" s="386">
        <f t="shared" si="0"/>
        <v>1</v>
      </c>
    </row>
    <row r="65" spans="1:32" ht="18.75" x14ac:dyDescent="0.25">
      <c r="A65" s="823">
        <v>56</v>
      </c>
      <c r="B65" s="1234" t="s">
        <v>66</v>
      </c>
      <c r="C65" s="1234"/>
      <c r="D65" s="587"/>
      <c r="E65" s="587" t="s">
        <v>66</v>
      </c>
      <c r="F65" s="570"/>
      <c r="G65" s="570"/>
      <c r="H65" s="570"/>
      <c r="I65" s="570"/>
      <c r="J65" s="571" t="str">
        <f>IF(VLOOKUP($A65,'Pre-Assessment Estimator'!$A$10:$Z$226,J$2,FALSE)=0,"",VLOOKUP($A65,'Pre-Assessment Estimator'!$A$10:$Z$226,J$2,FALSE))</f>
        <v/>
      </c>
      <c r="K65" s="570" t="str">
        <f>IF(VLOOKUP($A65,'Pre-Assessment Estimator'!$A$10:$Z$226,K$2,FALSE)=0,"",VLOOKUP($A65,'Pre-Assessment Estimator'!$A$10:$Z$226,K$2,FALSE))</f>
        <v/>
      </c>
      <c r="L65" s="571" t="str">
        <f>IF(VLOOKUP($A65,'Pre-Assessment Estimator'!$A$10:$Z$226,L$2,FALSE)=0,"",VLOOKUP($A65,'Pre-Assessment Estimator'!$A$10:$Z$226,L$2,FALSE))</f>
        <v/>
      </c>
      <c r="M65" s="579"/>
      <c r="N65" s="570" t="str">
        <f>IF(VLOOKUP($A65,'Pre-Assessment Estimator'!$A$10:$Z$226,N$2,FALSE)=0,"",VLOOKUP($A65,'Pre-Assessment Estimator'!$A$10:$Z$226,N$2,FALSE))</f>
        <v/>
      </c>
      <c r="O65" s="570"/>
      <c r="P65" s="570"/>
      <c r="Q65" s="571" t="str">
        <f>IF(VLOOKUP($A65,'Pre-Assessment Estimator'!$A$10:$Z$226,Q$2,FALSE)=0,"",VLOOKUP($A65,'Pre-Assessment Estimator'!$A$10:$Z$226,Q$2,FALSE))</f>
        <v/>
      </c>
      <c r="R65" s="570" t="str">
        <f>IF(VLOOKUP($A65,'Pre-Assessment Estimator'!$A$10:$Z$226,R$2,FALSE)=0,"",VLOOKUP($A65,'Pre-Assessment Estimator'!$A$10:$Z$226,R$2,FALSE))</f>
        <v/>
      </c>
      <c r="S65" s="571" t="str">
        <f>IF(VLOOKUP($A65,'Pre-Assessment Estimator'!$A$10:$Z$226,S$2,FALSE)=0,"",VLOOKUP($A65,'Pre-Assessment Estimator'!$A$10:$Z$226,S$2,FALSE))</f>
        <v/>
      </c>
      <c r="T65" s="581"/>
      <c r="U65" s="570" t="str">
        <f>IF(VLOOKUP($A65,'Pre-Assessment Estimator'!$A$10:$Z$226,U$2,FALSE)=0,"",VLOOKUP($A65,'Pre-Assessment Estimator'!$A$10:$Z$226,U$2,FALSE))</f>
        <v/>
      </c>
      <c r="V65" s="570"/>
      <c r="W65" s="570"/>
      <c r="X65" s="571" t="str">
        <f>IF(VLOOKUP($A65,'Pre-Assessment Estimator'!$A$10:$Z$226,X$2,FALSE)=0,"",VLOOKUP($A65,'Pre-Assessment Estimator'!$A$10:$Z$226,X$2,FALSE))</f>
        <v/>
      </c>
      <c r="Y65" s="570" t="str">
        <f>IF(VLOOKUP($A65,'Pre-Assessment Estimator'!$A$10:$Z$226,Y$2,FALSE)=0,"",VLOOKUP($A65,'Pre-Assessment Estimator'!$A$10:$Z$226,Y$2,FALSE))</f>
        <v/>
      </c>
      <c r="Z65" s="411" t="str">
        <f>IF(VLOOKUP($A65,'Pre-Assessment Estimator'!$A$10:$Z$226,Z$2,FALSE)=0,"",VLOOKUP($A65,'Pre-Assessment Estimator'!$A$10:$Z$226,Z$2,FALSE))</f>
        <v/>
      </c>
      <c r="AA65" s="696">
        <v>55</v>
      </c>
      <c r="AB65" s="697"/>
      <c r="AF65" s="386">
        <f t="shared" si="0"/>
        <v>1</v>
      </c>
    </row>
    <row r="66" spans="1:32" x14ac:dyDescent="0.25">
      <c r="A66" s="823">
        <v>57</v>
      </c>
      <c r="B66" s="1234" t="s">
        <v>66</v>
      </c>
      <c r="C66" s="1234"/>
      <c r="D66" s="1256" t="str">
        <f>VLOOKUP($A66,'Pre-Assessment Estimator'!$A$10:$Z$226,D$2,FALSE)</f>
        <v>Ene 01</v>
      </c>
      <c r="E66" s="1256" t="str">
        <f>VLOOKUP($A66,'Pre-Assessment Estimator'!$A$10:$Z$226,E$2,FALSE)</f>
        <v>Ene 01 Energy efficiency</v>
      </c>
      <c r="F66" s="574">
        <f>VLOOKUP($A66,'Pre-Assessment Estimator'!$A$10:$Z$226,F$2,FALSE)</f>
        <v>12</v>
      </c>
      <c r="G66" s="580" t="str">
        <f>IF(VLOOKUP($A66,'Pre-Assessment Estimator'!$A$10:$Z$226,G$2,FALSE)=0,"",VLOOKUP($A66,'Pre-Assessment Estimator'!$A$10:$Z$226,G$2,FALSE))</f>
        <v/>
      </c>
      <c r="H66" s="1220" t="str">
        <f>VLOOKUP($A66,'Pre-Assessment Estimator'!$A$10:$Z$226,H$2,FALSE)</f>
        <v>0 c. 0 %</v>
      </c>
      <c r="I66" s="576" t="str">
        <f>VLOOKUP($A66,'Pre-Assessment Estimator'!$A$10:$Z$226,I$2,FALSE)</f>
        <v>N/A</v>
      </c>
      <c r="J66" s="577" t="str">
        <f>IF(VLOOKUP($A66,'Pre-Assessment Estimator'!$A$10:$Z$226,J$2,FALSE)=0,"",VLOOKUP($A66,'Pre-Assessment Estimator'!$A$10:$Z$226,J$2,FALSE))</f>
        <v/>
      </c>
      <c r="K66" s="577" t="str">
        <f>IF(VLOOKUP($A66,'Pre-Assessment Estimator'!$A$10:$Z$226,K$2,FALSE)=0,"",VLOOKUP($A66,'Pre-Assessment Estimator'!$A$10:$Z$226,K$2,FALSE))</f>
        <v/>
      </c>
      <c r="L66" s="578" t="str">
        <f>IF(VLOOKUP($A66,'Pre-Assessment Estimator'!$A$10:$Z$226,L$2,FALSE)=0,"",VLOOKUP($A66,'Pre-Assessment Estimator'!$A$10:$Z$226,L$2,FALSE))</f>
        <v/>
      </c>
      <c r="M66" s="579"/>
      <c r="N66" s="580" t="str">
        <f>IF(VLOOKUP($A66,'Pre-Assessment Estimator'!$A$10:$Z$226,N$2,FALSE)=0,"",VLOOKUP($A66,'Pre-Assessment Estimator'!$A$10:$Z$226,N$2,FALSE))</f>
        <v/>
      </c>
      <c r="O66" s="575" t="str">
        <f>VLOOKUP($A66,'Pre-Assessment Estimator'!$A$10:$Z$226,O$2,FALSE)</f>
        <v>0 c. 0 %</v>
      </c>
      <c r="P66" s="574" t="str">
        <f>VLOOKUP($A66,'Pre-Assessment Estimator'!$A$10:$Z$226,P$2,FALSE)</f>
        <v>N/A</v>
      </c>
      <c r="Q66" s="577" t="str">
        <f>IF(VLOOKUP($A66,'Pre-Assessment Estimator'!$A$10:$Z$226,Q$2,FALSE)=0,"",VLOOKUP($A66,'Pre-Assessment Estimator'!$A$10:$Z$226,Q$2,FALSE))</f>
        <v/>
      </c>
      <c r="R66" s="577" t="str">
        <f>IF(VLOOKUP($A66,'Pre-Assessment Estimator'!$A$10:$Z$226,R$2,FALSE)=0,"",VLOOKUP($A66,'Pre-Assessment Estimator'!$A$10:$Z$226,R$2,FALSE))</f>
        <v/>
      </c>
      <c r="S66" s="578" t="str">
        <f>IF(VLOOKUP($A66,'Pre-Assessment Estimator'!$A$10:$Z$226,S$2,FALSE)=0,"",VLOOKUP($A66,'Pre-Assessment Estimator'!$A$10:$Z$226,S$2,FALSE))</f>
        <v/>
      </c>
      <c r="T66" s="581"/>
      <c r="U66" s="580" t="str">
        <f>IF(VLOOKUP($A66,'Pre-Assessment Estimator'!$A$10:$Z$226,U$2,FALSE)=0,"",VLOOKUP($A66,'Pre-Assessment Estimator'!$A$10:$Z$226,U$2,FALSE))</f>
        <v/>
      </c>
      <c r="V66" s="575" t="str">
        <f>VLOOKUP($A66,'Pre-Assessment Estimator'!$A$10:$Z$226,V$2,FALSE)</f>
        <v>0 c. 0 %</v>
      </c>
      <c r="W66" s="574" t="str">
        <f>VLOOKUP($A66,'Pre-Assessment Estimator'!$A$10:$Z$226,W$2,FALSE)</f>
        <v>N/A</v>
      </c>
      <c r="X66" s="577" t="str">
        <f>IF(VLOOKUP($A66,'Pre-Assessment Estimator'!$A$10:$Z$226,X$2,FALSE)=0,"",VLOOKUP($A66,'Pre-Assessment Estimator'!$A$10:$Z$226,X$2,FALSE))</f>
        <v/>
      </c>
      <c r="Y66" s="577" t="str">
        <f>IF(VLOOKUP($A66,'Pre-Assessment Estimator'!$A$10:$Z$226,Y$2,FALSE)=0,"",VLOOKUP($A66,'Pre-Assessment Estimator'!$A$10:$Z$226,Y$2,FALSE))</f>
        <v/>
      </c>
      <c r="Z66" s="370" t="str">
        <f>IF(VLOOKUP($A66,'Pre-Assessment Estimator'!$A$10:$Z$226,Z$2,FALSE)=0,"",VLOOKUP($A66,'Pre-Assessment Estimator'!$A$10:$Z$226,Z$2,FALSE))</f>
        <v/>
      </c>
      <c r="AA66" s="696">
        <v>56</v>
      </c>
      <c r="AB66" s="577" t="str">
        <f>IF(VLOOKUP($A66,'Pre-Assessment Estimator'!$A$10:$AB$226,AB$2,FALSE)=0,"",VLOOKUP($A66,'Pre-Assessment Estimator'!$A$10:$AB$226,AB$2,FALSE))</f>
        <v/>
      </c>
      <c r="AF66" s="386">
        <f t="shared" si="0"/>
        <v>1</v>
      </c>
    </row>
    <row r="67" spans="1:32" x14ac:dyDescent="0.25">
      <c r="A67" s="823">
        <v>58</v>
      </c>
      <c r="B67" s="1234" t="s">
        <v>66</v>
      </c>
      <c r="C67" s="1234"/>
      <c r="D67" s="1257" t="str">
        <f>VLOOKUP($A67,'Pre-Assessment Estimator'!$A$10:$Z$226,D$2,FALSE)</f>
        <v>Ene 01</v>
      </c>
      <c r="E67" s="1258" t="str">
        <f>VLOOKUP($A67,'Pre-Assessment Estimator'!$A$10:$Z$226,E$2,FALSE)</f>
        <v xml:space="preserve">Passive design </v>
      </c>
      <c r="F67" s="574">
        <f>VLOOKUP($A67,'Pre-Assessment Estimator'!$A$10:$Z$226,F$2,FALSE)</f>
        <v>2</v>
      </c>
      <c r="G67" s="580" t="str">
        <f>IF(VLOOKUP($A67,'Pre-Assessment Estimator'!$A$10:$Z$226,G$2,FALSE)=0,"",VLOOKUP($A67,'Pre-Assessment Estimator'!$A$10:$Z$226,G$2,FALSE))</f>
        <v/>
      </c>
      <c r="H67" s="1220">
        <f>VLOOKUP($A67,'Pre-Assessment Estimator'!$A$10:$Z$226,H$2,FALSE)</f>
        <v>0</v>
      </c>
      <c r="I67" s="576" t="str">
        <f>VLOOKUP($A67,'Pre-Assessment Estimator'!$A$10:$Z$226,I$2,FALSE)</f>
        <v>N/A</v>
      </c>
      <c r="J67" s="577" t="str">
        <f>IF(VLOOKUP($A67,'Pre-Assessment Estimator'!$A$10:$Z$226,J$2,FALSE)=0,"",VLOOKUP($A67,'Pre-Assessment Estimator'!$A$10:$Z$226,J$2,FALSE))</f>
        <v/>
      </c>
      <c r="K67" s="577" t="str">
        <f>IF(VLOOKUP($A67,'Pre-Assessment Estimator'!$A$10:$Z$226,K$2,FALSE)=0,"",VLOOKUP($A67,'Pre-Assessment Estimator'!$A$10:$Z$226,K$2,FALSE))</f>
        <v/>
      </c>
      <c r="L67" s="578" t="str">
        <f>IF(VLOOKUP($A67,'Pre-Assessment Estimator'!$A$10:$Z$226,L$2,FALSE)=0,"",VLOOKUP($A67,'Pre-Assessment Estimator'!$A$10:$Z$226,L$2,FALSE))</f>
        <v/>
      </c>
      <c r="M67" s="579"/>
      <c r="N67" s="580" t="str">
        <f>IF(VLOOKUP($A67,'Pre-Assessment Estimator'!$A$10:$Z$226,N$2,FALSE)=0,"",VLOOKUP($A67,'Pre-Assessment Estimator'!$A$10:$Z$226,N$2,FALSE))</f>
        <v/>
      </c>
      <c r="O67" s="575">
        <f>VLOOKUP($A67,'Pre-Assessment Estimator'!$A$10:$Z$226,O$2,FALSE)</f>
        <v>0</v>
      </c>
      <c r="P67" s="574" t="str">
        <f>VLOOKUP($A67,'Pre-Assessment Estimator'!$A$10:$Z$226,P$2,FALSE)</f>
        <v>N/A</v>
      </c>
      <c r="Q67" s="577" t="str">
        <f>IF(VLOOKUP($A67,'Pre-Assessment Estimator'!$A$10:$Z$226,Q$2,FALSE)=0,"",VLOOKUP($A67,'Pre-Assessment Estimator'!$A$10:$Z$226,Q$2,FALSE))</f>
        <v/>
      </c>
      <c r="R67" s="577" t="str">
        <f>IF(VLOOKUP($A67,'Pre-Assessment Estimator'!$A$10:$Z$226,R$2,FALSE)=0,"",VLOOKUP($A67,'Pre-Assessment Estimator'!$A$10:$Z$226,R$2,FALSE))</f>
        <v/>
      </c>
      <c r="S67" s="578" t="str">
        <f>IF(VLOOKUP($A67,'Pre-Assessment Estimator'!$A$10:$Z$226,S$2,FALSE)=0,"",VLOOKUP($A67,'Pre-Assessment Estimator'!$A$10:$Z$226,S$2,FALSE))</f>
        <v/>
      </c>
      <c r="T67" s="581"/>
      <c r="U67" s="580" t="str">
        <f>IF(VLOOKUP($A67,'Pre-Assessment Estimator'!$A$10:$Z$226,U$2,FALSE)=0,"",VLOOKUP($A67,'Pre-Assessment Estimator'!$A$10:$Z$226,U$2,FALSE))</f>
        <v/>
      </c>
      <c r="V67" s="575">
        <f>VLOOKUP($A67,'Pre-Assessment Estimator'!$A$10:$Z$226,V$2,FALSE)</f>
        <v>0</v>
      </c>
      <c r="W67" s="574" t="str">
        <f>VLOOKUP($A67,'Pre-Assessment Estimator'!$A$10:$Z$226,W$2,FALSE)</f>
        <v>N/A</v>
      </c>
      <c r="X67" s="577" t="str">
        <f>IF(VLOOKUP($A67,'Pre-Assessment Estimator'!$A$10:$Z$226,X$2,FALSE)=0,"",VLOOKUP($A67,'Pre-Assessment Estimator'!$A$10:$Z$226,X$2,FALSE))</f>
        <v/>
      </c>
      <c r="Y67" s="577" t="str">
        <f>IF(VLOOKUP($A67,'Pre-Assessment Estimator'!$A$10:$Z$226,Y$2,FALSE)=0,"",VLOOKUP($A67,'Pre-Assessment Estimator'!$A$10:$Z$226,Y$2,FALSE))</f>
        <v/>
      </c>
      <c r="Z67" s="370" t="str">
        <f>IF(VLOOKUP($A67,'Pre-Assessment Estimator'!$A$10:$Z$226,Z$2,FALSE)=0,"",VLOOKUP($A67,'Pre-Assessment Estimator'!$A$10:$Z$226,Z$2,FALSE))</f>
        <v/>
      </c>
      <c r="AA67" s="696">
        <v>57</v>
      </c>
      <c r="AB67" s="577" t="str">
        <f>IF(VLOOKUP($A67,'Pre-Assessment Estimator'!$A$10:$AB$226,AB$2,FALSE)=0,"",VLOOKUP($A67,'Pre-Assessment Estimator'!$A$10:$AB$226,AB$2,FALSE))</f>
        <v/>
      </c>
      <c r="AF67" s="386">
        <f t="shared" si="0"/>
        <v>1</v>
      </c>
    </row>
    <row r="68" spans="1:32" x14ac:dyDescent="0.25">
      <c r="A68" s="823">
        <v>59</v>
      </c>
      <c r="B68" s="1234" t="s">
        <v>66</v>
      </c>
      <c r="C68" s="1234"/>
      <c r="D68" s="1257" t="str">
        <f>VLOOKUP($A68,'Pre-Assessment Estimator'!$A$10:$Z$226,D$2,FALSE)</f>
        <v>Ene 01</v>
      </c>
      <c r="E68" s="1258" t="str">
        <f>VLOOKUP($A68,'Pre-Assessment Estimator'!$A$10:$Z$226,E$2,FALSE)</f>
        <v xml:space="preserve">Low and zero carbon technologies </v>
      </c>
      <c r="F68" s="574">
        <f>VLOOKUP($A68,'Pre-Assessment Estimator'!$A$10:$Z$226,F$2,FALSE)</f>
        <v>1</v>
      </c>
      <c r="G68" s="580" t="str">
        <f>IF(VLOOKUP($A68,'Pre-Assessment Estimator'!$A$10:$Z$226,G$2,FALSE)=0,"",VLOOKUP($A68,'Pre-Assessment Estimator'!$A$10:$Z$226,G$2,FALSE))</f>
        <v/>
      </c>
      <c r="H68" s="1220">
        <f>VLOOKUP($A68,'Pre-Assessment Estimator'!$A$10:$Z$226,H$2,FALSE)</f>
        <v>0</v>
      </c>
      <c r="I68" s="576" t="str">
        <f>VLOOKUP($A68,'Pre-Assessment Estimator'!$A$10:$Z$226,I$2,FALSE)</f>
        <v>N/A</v>
      </c>
      <c r="J68" s="577" t="str">
        <f>IF(VLOOKUP($A68,'Pre-Assessment Estimator'!$A$10:$Z$226,J$2,FALSE)=0,"",VLOOKUP($A68,'Pre-Assessment Estimator'!$A$10:$Z$226,J$2,FALSE))</f>
        <v/>
      </c>
      <c r="K68" s="577" t="str">
        <f>IF(VLOOKUP($A68,'Pre-Assessment Estimator'!$A$10:$Z$226,K$2,FALSE)=0,"",VLOOKUP($A68,'Pre-Assessment Estimator'!$A$10:$Z$226,K$2,FALSE))</f>
        <v/>
      </c>
      <c r="L68" s="578" t="str">
        <f>IF(VLOOKUP($A68,'Pre-Assessment Estimator'!$A$10:$Z$226,L$2,FALSE)=0,"",VLOOKUP($A68,'Pre-Assessment Estimator'!$A$10:$Z$226,L$2,FALSE))</f>
        <v/>
      </c>
      <c r="M68" s="579"/>
      <c r="N68" s="580" t="str">
        <f>IF(VLOOKUP($A68,'Pre-Assessment Estimator'!$A$10:$Z$226,N$2,FALSE)=0,"",VLOOKUP($A68,'Pre-Assessment Estimator'!$A$10:$Z$226,N$2,FALSE))</f>
        <v/>
      </c>
      <c r="O68" s="575">
        <f>VLOOKUP($A68,'Pre-Assessment Estimator'!$A$10:$Z$226,O$2,FALSE)</f>
        <v>0</v>
      </c>
      <c r="P68" s="574" t="str">
        <f>VLOOKUP($A68,'Pre-Assessment Estimator'!$A$10:$Z$226,P$2,FALSE)</f>
        <v>N/A</v>
      </c>
      <c r="Q68" s="577" t="str">
        <f>IF(VLOOKUP($A68,'Pre-Assessment Estimator'!$A$10:$Z$226,Q$2,FALSE)=0,"",VLOOKUP($A68,'Pre-Assessment Estimator'!$A$10:$Z$226,Q$2,FALSE))</f>
        <v/>
      </c>
      <c r="R68" s="577" t="str">
        <f>IF(VLOOKUP($A68,'Pre-Assessment Estimator'!$A$10:$Z$226,R$2,FALSE)=0,"",VLOOKUP($A68,'Pre-Assessment Estimator'!$A$10:$Z$226,R$2,FALSE))</f>
        <v/>
      </c>
      <c r="S68" s="578" t="str">
        <f>IF(VLOOKUP($A68,'Pre-Assessment Estimator'!$A$10:$Z$226,S$2,FALSE)=0,"",VLOOKUP($A68,'Pre-Assessment Estimator'!$A$10:$Z$226,S$2,FALSE))</f>
        <v/>
      </c>
      <c r="T68" s="581"/>
      <c r="U68" s="580" t="str">
        <f>IF(VLOOKUP($A68,'Pre-Assessment Estimator'!$A$10:$Z$226,U$2,FALSE)=0,"",VLOOKUP($A68,'Pre-Assessment Estimator'!$A$10:$Z$226,U$2,FALSE))</f>
        <v/>
      </c>
      <c r="V68" s="575">
        <f>VLOOKUP($A68,'Pre-Assessment Estimator'!$A$10:$Z$226,V$2,FALSE)</f>
        <v>0</v>
      </c>
      <c r="W68" s="574" t="str">
        <f>VLOOKUP($A68,'Pre-Assessment Estimator'!$A$10:$Z$226,W$2,FALSE)</f>
        <v>N/A</v>
      </c>
      <c r="X68" s="577" t="str">
        <f>IF(VLOOKUP($A68,'Pre-Assessment Estimator'!$A$10:$Z$226,X$2,FALSE)=0,"",VLOOKUP($A68,'Pre-Assessment Estimator'!$A$10:$Z$226,X$2,FALSE))</f>
        <v/>
      </c>
      <c r="Y68" s="577" t="str">
        <f>IF(VLOOKUP($A68,'Pre-Assessment Estimator'!$A$10:$Z$226,Y$2,FALSE)=0,"",VLOOKUP($A68,'Pre-Assessment Estimator'!$A$10:$Z$226,Y$2,FALSE))</f>
        <v/>
      </c>
      <c r="Z68" s="370" t="str">
        <f>IF(VLOOKUP($A68,'Pre-Assessment Estimator'!$A$10:$Z$226,Z$2,FALSE)=0,"",VLOOKUP($A68,'Pre-Assessment Estimator'!$A$10:$Z$226,Z$2,FALSE))</f>
        <v/>
      </c>
      <c r="AA68" s="696">
        <v>58</v>
      </c>
      <c r="AB68" s="577" t="str">
        <f>IF(VLOOKUP($A68,'Pre-Assessment Estimator'!$A$10:$AB$226,AB$2,FALSE)=0,"",VLOOKUP($A68,'Pre-Assessment Estimator'!$A$10:$AB$226,AB$2,FALSE))</f>
        <v/>
      </c>
      <c r="AF68" s="386">
        <f t="shared" si="0"/>
        <v>1</v>
      </c>
    </row>
    <row r="69" spans="1:32" x14ac:dyDescent="0.25">
      <c r="A69" s="823">
        <v>60</v>
      </c>
      <c r="B69" s="1234" t="s">
        <v>66</v>
      </c>
      <c r="C69" s="1234"/>
      <c r="D69" s="1257" t="str">
        <f>VLOOKUP($A69,'Pre-Assessment Estimator'!$A$10:$Z$226,D$2,FALSE)</f>
        <v>Ene 01</v>
      </c>
      <c r="E69" s="1258" t="str">
        <f>VLOOKUP($A69,'Pre-Assessment Estimator'!$A$10:$Z$226,E$2,FALSE)</f>
        <v xml:space="preserve">Energy performance </v>
      </c>
      <c r="F69" s="574">
        <f>VLOOKUP($A69,'Pre-Assessment Estimator'!$A$10:$Z$226,F$2,FALSE)</f>
        <v>4</v>
      </c>
      <c r="G69" s="580" t="str">
        <f>IF(VLOOKUP($A69,'Pre-Assessment Estimator'!$A$10:$Z$226,G$2,FALSE)=0,"",VLOOKUP($A69,'Pre-Assessment Estimator'!$A$10:$Z$226,G$2,FALSE))</f>
        <v/>
      </c>
      <c r="H69" s="1220">
        <f>VLOOKUP($A69,'Pre-Assessment Estimator'!$A$10:$Z$226,H$2,FALSE)</f>
        <v>0</v>
      </c>
      <c r="I69" s="576" t="str">
        <f>VLOOKUP($A69,'Pre-Assessment Estimator'!$A$10:$Z$226,I$2,FALSE)</f>
        <v>Very Good</v>
      </c>
      <c r="J69" s="577" t="str">
        <f>IF(VLOOKUP($A69,'Pre-Assessment Estimator'!$A$10:$Z$226,J$2,FALSE)=0,"",VLOOKUP($A69,'Pre-Assessment Estimator'!$A$10:$Z$226,J$2,FALSE))</f>
        <v/>
      </c>
      <c r="K69" s="577" t="str">
        <f>IF(VLOOKUP($A69,'Pre-Assessment Estimator'!$A$10:$Z$226,K$2,FALSE)=0,"",VLOOKUP($A69,'Pre-Assessment Estimator'!$A$10:$Z$226,K$2,FALSE))</f>
        <v/>
      </c>
      <c r="L69" s="578" t="str">
        <f>IF(VLOOKUP($A69,'Pre-Assessment Estimator'!$A$10:$Z$226,L$2,FALSE)=0,"",VLOOKUP($A69,'Pre-Assessment Estimator'!$A$10:$Z$226,L$2,FALSE))</f>
        <v/>
      </c>
      <c r="M69" s="579"/>
      <c r="N69" s="580" t="str">
        <f>IF(VLOOKUP($A69,'Pre-Assessment Estimator'!$A$10:$Z$226,N$2,FALSE)=0,"",VLOOKUP($A69,'Pre-Assessment Estimator'!$A$10:$Z$226,N$2,FALSE))</f>
        <v/>
      </c>
      <c r="O69" s="575">
        <f>VLOOKUP($A69,'Pre-Assessment Estimator'!$A$10:$Z$226,O$2,FALSE)</f>
        <v>0</v>
      </c>
      <c r="P69" s="574" t="str">
        <f>VLOOKUP($A69,'Pre-Assessment Estimator'!$A$10:$Z$226,P$2,FALSE)</f>
        <v>Very Good</v>
      </c>
      <c r="Q69" s="577" t="str">
        <f>IF(VLOOKUP($A69,'Pre-Assessment Estimator'!$A$10:$Z$226,Q$2,FALSE)=0,"",VLOOKUP($A69,'Pre-Assessment Estimator'!$A$10:$Z$226,Q$2,FALSE))</f>
        <v/>
      </c>
      <c r="R69" s="577" t="str">
        <f>IF(VLOOKUP($A69,'Pre-Assessment Estimator'!$A$10:$Z$226,R$2,FALSE)=0,"",VLOOKUP($A69,'Pre-Assessment Estimator'!$A$10:$Z$226,R$2,FALSE))</f>
        <v/>
      </c>
      <c r="S69" s="578" t="str">
        <f>IF(VLOOKUP($A69,'Pre-Assessment Estimator'!$A$10:$Z$226,S$2,FALSE)=0,"",VLOOKUP($A69,'Pre-Assessment Estimator'!$A$10:$Z$226,S$2,FALSE))</f>
        <v/>
      </c>
      <c r="T69" s="581"/>
      <c r="U69" s="580" t="str">
        <f>IF(VLOOKUP($A69,'Pre-Assessment Estimator'!$A$10:$Z$226,U$2,FALSE)=0,"",VLOOKUP($A69,'Pre-Assessment Estimator'!$A$10:$Z$226,U$2,FALSE))</f>
        <v/>
      </c>
      <c r="V69" s="575">
        <f>VLOOKUP($A69,'Pre-Assessment Estimator'!$A$10:$Z$226,V$2,FALSE)</f>
        <v>0</v>
      </c>
      <c r="W69" s="574" t="str">
        <f>VLOOKUP($A69,'Pre-Assessment Estimator'!$A$10:$Z$226,W$2,FALSE)</f>
        <v>Very Good</v>
      </c>
      <c r="X69" s="577" t="str">
        <f>IF(VLOOKUP($A69,'Pre-Assessment Estimator'!$A$10:$Z$226,X$2,FALSE)=0,"",VLOOKUP($A69,'Pre-Assessment Estimator'!$A$10:$Z$226,X$2,FALSE))</f>
        <v/>
      </c>
      <c r="Y69" s="577" t="str">
        <f>IF(VLOOKUP($A69,'Pre-Assessment Estimator'!$A$10:$Z$226,Y$2,FALSE)=0,"",VLOOKUP($A69,'Pre-Assessment Estimator'!$A$10:$Z$226,Y$2,FALSE))</f>
        <v/>
      </c>
      <c r="Z69" s="370" t="str">
        <f>IF(VLOOKUP($A69,'Pre-Assessment Estimator'!$A$10:$Z$226,Z$2,FALSE)=0,"",VLOOKUP($A69,'Pre-Assessment Estimator'!$A$10:$Z$226,Z$2,FALSE))</f>
        <v/>
      </c>
      <c r="AA69" s="696">
        <v>59</v>
      </c>
      <c r="AB69" s="577"/>
      <c r="AF69" s="386">
        <f t="shared" si="0"/>
        <v>1</v>
      </c>
    </row>
    <row r="70" spans="1:32" ht="30" x14ac:dyDescent="0.25">
      <c r="A70" s="823">
        <v>61</v>
      </c>
      <c r="B70" s="1234" t="s">
        <v>66</v>
      </c>
      <c r="C70" s="1234"/>
      <c r="D70" s="1257" t="str">
        <f>VLOOKUP($A70,'Pre-Assessment Estimator'!$A$10:$Z$226,D$2,FALSE)</f>
        <v>Ene 01</v>
      </c>
      <c r="E70" s="1260" t="str">
        <f>VLOOKUP($A70,'Pre-Assessment Estimator'!$A$10:$Z$226,E$2,FALSE)</f>
        <v>EU taxonomy requirements: criterion 9 and 10 - Energy performance</v>
      </c>
      <c r="F70" s="574" t="str">
        <f>VLOOKUP($A70,'Pre-Assessment Estimator'!$A$10:$Z$226,F$2,FALSE)</f>
        <v>Yes/No</v>
      </c>
      <c r="G70" s="580" t="str">
        <f>IF(VLOOKUP($A70,'Pre-Assessment Estimator'!$A$10:$Z$226,G$2,FALSE)=0,"",VLOOKUP($A70,'Pre-Assessment Estimator'!$A$10:$Z$226,G$2,FALSE))</f>
        <v/>
      </c>
      <c r="H70" s="1220" t="str">
        <f>VLOOKUP($A70,'Pre-Assessment Estimator'!$A$10:$Z$226,H$2,FALSE)</f>
        <v>-</v>
      </c>
      <c r="I70" s="576" t="str">
        <f>VLOOKUP($A70,'Pre-Assessment Estimator'!$A$10:$Z$226,I$2,FALSE)</f>
        <v>N/A</v>
      </c>
      <c r="J70" s="577" t="str">
        <f>IF(VLOOKUP($A70,'Pre-Assessment Estimator'!$A$10:$Z$226,J$2,FALSE)=0,"",VLOOKUP($A70,'Pre-Assessment Estimator'!$A$10:$Z$226,J$2,FALSE))</f>
        <v/>
      </c>
      <c r="K70" s="577" t="str">
        <f>IF(VLOOKUP($A70,'Pre-Assessment Estimator'!$A$10:$Z$226,K$2,FALSE)=0,"",VLOOKUP($A70,'Pre-Assessment Estimator'!$A$10:$Z$226,K$2,FALSE))</f>
        <v/>
      </c>
      <c r="L70" s="578" t="str">
        <f>IF(VLOOKUP($A70,'Pre-Assessment Estimator'!$A$10:$Z$226,L$2,FALSE)=0,"",VLOOKUP($A70,'Pre-Assessment Estimator'!$A$10:$Z$226,L$2,FALSE))</f>
        <v/>
      </c>
      <c r="M70" s="579"/>
      <c r="N70" s="580" t="str">
        <f>IF(VLOOKUP($A70,'Pre-Assessment Estimator'!$A$10:$Z$226,N$2,FALSE)=0,"",VLOOKUP($A70,'Pre-Assessment Estimator'!$A$10:$Z$226,N$2,FALSE))</f>
        <v/>
      </c>
      <c r="O70" s="575" t="str">
        <f>VLOOKUP($A70,'Pre-Assessment Estimator'!$A$10:$Z$226,O$2,FALSE)</f>
        <v>-</v>
      </c>
      <c r="P70" s="574" t="str">
        <f>VLOOKUP($A70,'Pre-Assessment Estimator'!$A$10:$Z$226,P$2,FALSE)</f>
        <v>N/A</v>
      </c>
      <c r="Q70" s="577" t="str">
        <f>IF(VLOOKUP($A70,'Pre-Assessment Estimator'!$A$10:$Z$226,Q$2,FALSE)=0,"",VLOOKUP($A70,'Pre-Assessment Estimator'!$A$10:$Z$226,Q$2,FALSE))</f>
        <v/>
      </c>
      <c r="R70" s="577" t="str">
        <f>IF(VLOOKUP($A70,'Pre-Assessment Estimator'!$A$10:$Z$226,R$2,FALSE)=0,"",VLOOKUP($A70,'Pre-Assessment Estimator'!$A$10:$Z$226,R$2,FALSE))</f>
        <v/>
      </c>
      <c r="S70" s="578" t="str">
        <f>IF(VLOOKUP($A70,'Pre-Assessment Estimator'!$A$10:$Z$226,S$2,FALSE)=0,"",VLOOKUP($A70,'Pre-Assessment Estimator'!$A$10:$Z$226,S$2,FALSE))</f>
        <v/>
      </c>
      <c r="T70" s="581"/>
      <c r="U70" s="580" t="str">
        <f>IF(VLOOKUP($A70,'Pre-Assessment Estimator'!$A$10:$Z$226,U$2,FALSE)=0,"",VLOOKUP($A70,'Pre-Assessment Estimator'!$A$10:$Z$226,U$2,FALSE))</f>
        <v/>
      </c>
      <c r="V70" s="575" t="str">
        <f>VLOOKUP($A70,'Pre-Assessment Estimator'!$A$10:$Z$226,V$2,FALSE)</f>
        <v>-</v>
      </c>
      <c r="W70" s="574" t="str">
        <f>VLOOKUP($A70,'Pre-Assessment Estimator'!$A$10:$Z$226,W$2,FALSE)</f>
        <v>N/A</v>
      </c>
      <c r="X70" s="577" t="str">
        <f>IF(VLOOKUP($A70,'Pre-Assessment Estimator'!$A$10:$Z$226,X$2,FALSE)=0,"",VLOOKUP($A70,'Pre-Assessment Estimator'!$A$10:$Z$226,X$2,FALSE))</f>
        <v/>
      </c>
      <c r="Y70" s="577" t="str">
        <f>IF(VLOOKUP($A70,'Pre-Assessment Estimator'!$A$10:$Z$226,Y$2,FALSE)=0,"",VLOOKUP($A70,'Pre-Assessment Estimator'!$A$10:$Z$226,Y$2,FALSE))</f>
        <v/>
      </c>
      <c r="Z70" s="370" t="str">
        <f>IF(VLOOKUP($A70,'Pre-Assessment Estimator'!$A$10:$Z$226,Z$2,FALSE)=0,"",VLOOKUP($A70,'Pre-Assessment Estimator'!$A$10:$Z$226,Z$2,FALSE))</f>
        <v/>
      </c>
      <c r="AA70" s="696">
        <v>60</v>
      </c>
      <c r="AB70" s="577"/>
      <c r="AF70" s="386">
        <f t="shared" si="0"/>
        <v>1</v>
      </c>
    </row>
    <row r="71" spans="1:32" x14ac:dyDescent="0.25">
      <c r="A71" s="823">
        <v>62</v>
      </c>
      <c r="B71" s="1234" t="s">
        <v>66</v>
      </c>
      <c r="C71" s="1234"/>
      <c r="D71" s="1257" t="str">
        <f>VLOOKUP($A71,'Pre-Assessment Estimator'!$A$10:$Z$226,D$2,FALSE)</f>
        <v>Ene 01</v>
      </c>
      <c r="E71" s="1258" t="str">
        <f>VLOOKUP($A71,'Pre-Assessment Estimator'!$A$10:$Z$226,E$2,FALSE)</f>
        <v>Adaptation to EU taxonomy (EU taxonomy requirements: criterion 12)</v>
      </c>
      <c r="F71" s="574">
        <f>VLOOKUP($A71,'Pre-Assessment Estimator'!$A$10:$Z$226,F$2,FALSE)</f>
        <v>1</v>
      </c>
      <c r="G71" s="580" t="str">
        <f>IF(VLOOKUP($A71,'Pre-Assessment Estimator'!$A$10:$Z$226,G$2,FALSE)=0,"",VLOOKUP($A71,'Pre-Assessment Estimator'!$A$10:$Z$226,G$2,FALSE))</f>
        <v/>
      </c>
      <c r="H71" s="1220">
        <f>VLOOKUP($A71,'Pre-Assessment Estimator'!$A$10:$Z$226,H$2,FALSE)</f>
        <v>0</v>
      </c>
      <c r="I71" s="576" t="str">
        <f>VLOOKUP($A71,'Pre-Assessment Estimator'!$A$10:$Z$226,I$2,FALSE)</f>
        <v>Very Good</v>
      </c>
      <c r="J71" s="577" t="str">
        <f>IF(VLOOKUP($A71,'Pre-Assessment Estimator'!$A$10:$Z$226,J$2,FALSE)=0,"",VLOOKUP($A71,'Pre-Assessment Estimator'!$A$10:$Z$226,J$2,FALSE))</f>
        <v/>
      </c>
      <c r="K71" s="577" t="str">
        <f>IF(VLOOKUP($A71,'Pre-Assessment Estimator'!$A$10:$Z$226,K$2,FALSE)=0,"",VLOOKUP($A71,'Pre-Assessment Estimator'!$A$10:$Z$226,K$2,FALSE))</f>
        <v/>
      </c>
      <c r="L71" s="578" t="str">
        <f>IF(VLOOKUP($A71,'Pre-Assessment Estimator'!$A$10:$Z$226,L$2,FALSE)=0,"",VLOOKUP($A71,'Pre-Assessment Estimator'!$A$10:$Z$226,L$2,FALSE))</f>
        <v/>
      </c>
      <c r="M71" s="579"/>
      <c r="N71" s="580" t="str">
        <f>IF(VLOOKUP($A71,'Pre-Assessment Estimator'!$A$10:$Z$226,N$2,FALSE)=0,"",VLOOKUP($A71,'Pre-Assessment Estimator'!$A$10:$Z$226,N$2,FALSE))</f>
        <v/>
      </c>
      <c r="O71" s="575">
        <f>VLOOKUP($A71,'Pre-Assessment Estimator'!$A$10:$Z$226,O$2,FALSE)</f>
        <v>0</v>
      </c>
      <c r="P71" s="574" t="str">
        <f>VLOOKUP($A71,'Pre-Assessment Estimator'!$A$10:$Z$226,P$2,FALSE)</f>
        <v>Very Good</v>
      </c>
      <c r="Q71" s="577" t="str">
        <f>IF(VLOOKUP($A71,'Pre-Assessment Estimator'!$A$10:$Z$226,Q$2,FALSE)=0,"",VLOOKUP($A71,'Pre-Assessment Estimator'!$A$10:$Z$226,Q$2,FALSE))</f>
        <v/>
      </c>
      <c r="R71" s="577" t="str">
        <f>IF(VLOOKUP($A71,'Pre-Assessment Estimator'!$A$10:$Z$226,R$2,FALSE)=0,"",VLOOKUP($A71,'Pre-Assessment Estimator'!$A$10:$Z$226,R$2,FALSE))</f>
        <v/>
      </c>
      <c r="S71" s="578" t="str">
        <f>IF(VLOOKUP($A71,'Pre-Assessment Estimator'!$A$10:$Z$226,S$2,FALSE)=0,"",VLOOKUP($A71,'Pre-Assessment Estimator'!$A$10:$Z$226,S$2,FALSE))</f>
        <v/>
      </c>
      <c r="T71" s="581"/>
      <c r="U71" s="580" t="str">
        <f>IF(VLOOKUP($A71,'Pre-Assessment Estimator'!$A$10:$Z$226,U$2,FALSE)=0,"",VLOOKUP($A71,'Pre-Assessment Estimator'!$A$10:$Z$226,U$2,FALSE))</f>
        <v/>
      </c>
      <c r="V71" s="575">
        <f>VLOOKUP($A71,'Pre-Assessment Estimator'!$A$10:$Z$226,V$2,FALSE)</f>
        <v>0</v>
      </c>
      <c r="W71" s="574" t="str">
        <f>VLOOKUP($A71,'Pre-Assessment Estimator'!$A$10:$Z$226,W$2,FALSE)</f>
        <v>Very Good</v>
      </c>
      <c r="X71" s="577" t="str">
        <f>IF(VLOOKUP($A71,'Pre-Assessment Estimator'!$A$10:$Z$226,X$2,FALSE)=0,"",VLOOKUP($A71,'Pre-Assessment Estimator'!$A$10:$Z$226,X$2,FALSE))</f>
        <v/>
      </c>
      <c r="Y71" s="577" t="str">
        <f>IF(VLOOKUP($A71,'Pre-Assessment Estimator'!$A$10:$Z$226,Y$2,FALSE)=0,"",VLOOKUP($A71,'Pre-Assessment Estimator'!$A$10:$Z$226,Y$2,FALSE))</f>
        <v/>
      </c>
      <c r="Z71" s="370" t="str">
        <f>IF(VLOOKUP($A71,'Pre-Assessment Estimator'!$A$10:$Z$226,Z$2,FALSE)=0,"",VLOOKUP($A71,'Pre-Assessment Estimator'!$A$10:$Z$226,Z$2,FALSE))</f>
        <v/>
      </c>
      <c r="AA71" s="696">
        <v>61</v>
      </c>
      <c r="AB71" s="577"/>
    </row>
    <row r="72" spans="1:32" x14ac:dyDescent="0.25">
      <c r="A72" s="823">
        <v>63</v>
      </c>
      <c r="B72" s="1234" t="s">
        <v>66</v>
      </c>
      <c r="C72" s="1234"/>
      <c r="D72" s="1257" t="str">
        <f>VLOOKUP($A72,'Pre-Assessment Estimator'!$A$10:$Z$226,D$2,FALSE)</f>
        <v>Ene 01</v>
      </c>
      <c r="E72" s="1258" t="str">
        <f>VLOOKUP($A72,'Pre-Assessment Estimator'!$A$10:$Z$226,E$2,FALSE)</f>
        <v xml:space="preserve">Prediction of operational energy consumption </v>
      </c>
      <c r="F72" s="574">
        <f>VLOOKUP($A72,'Pre-Assessment Estimator'!$A$10:$Z$226,F$2,FALSE)</f>
        <v>4</v>
      </c>
      <c r="G72" s="580" t="str">
        <f>IF(VLOOKUP($A72,'Pre-Assessment Estimator'!$A$10:$Z$226,G$2,FALSE)=0,"",VLOOKUP($A72,'Pre-Assessment Estimator'!$A$10:$Z$226,G$2,FALSE))</f>
        <v/>
      </c>
      <c r="H72" s="1220">
        <f>VLOOKUP($A72,'Pre-Assessment Estimator'!$A$10:$Z$226,H$2,FALSE)</f>
        <v>0</v>
      </c>
      <c r="I72" s="576" t="str">
        <f>VLOOKUP($A72,'Pre-Assessment Estimator'!$A$10:$Z$226,I$2,FALSE)</f>
        <v>N/A</v>
      </c>
      <c r="J72" s="577" t="str">
        <f>IF(VLOOKUP($A72,'Pre-Assessment Estimator'!$A$10:$Z$226,J$2,FALSE)=0,"",VLOOKUP($A72,'Pre-Assessment Estimator'!$A$10:$Z$226,J$2,FALSE))</f>
        <v/>
      </c>
      <c r="K72" s="577" t="str">
        <f>IF(VLOOKUP($A72,'Pre-Assessment Estimator'!$A$10:$Z$226,K$2,FALSE)=0,"",VLOOKUP($A72,'Pre-Assessment Estimator'!$A$10:$Z$226,K$2,FALSE))</f>
        <v/>
      </c>
      <c r="L72" s="578" t="str">
        <f>IF(VLOOKUP($A72,'Pre-Assessment Estimator'!$A$10:$Z$226,L$2,FALSE)=0,"",VLOOKUP($A72,'Pre-Assessment Estimator'!$A$10:$Z$226,L$2,FALSE))</f>
        <v/>
      </c>
      <c r="M72" s="579"/>
      <c r="N72" s="580" t="str">
        <f>IF(VLOOKUP($A72,'Pre-Assessment Estimator'!$A$10:$Z$226,N$2,FALSE)=0,"",VLOOKUP($A72,'Pre-Assessment Estimator'!$A$10:$Z$226,N$2,FALSE))</f>
        <v/>
      </c>
      <c r="O72" s="575">
        <f>VLOOKUP($A72,'Pre-Assessment Estimator'!$A$10:$Z$226,O$2,FALSE)</f>
        <v>0</v>
      </c>
      <c r="P72" s="574" t="str">
        <f>VLOOKUP($A72,'Pre-Assessment Estimator'!$A$10:$Z$226,P$2,FALSE)</f>
        <v>N/A</v>
      </c>
      <c r="Q72" s="577" t="str">
        <f>IF(VLOOKUP($A72,'Pre-Assessment Estimator'!$A$10:$Z$226,Q$2,FALSE)=0,"",VLOOKUP($A72,'Pre-Assessment Estimator'!$A$10:$Z$226,Q$2,FALSE))</f>
        <v/>
      </c>
      <c r="R72" s="577" t="str">
        <f>IF(VLOOKUP($A72,'Pre-Assessment Estimator'!$A$10:$Z$226,R$2,FALSE)=0,"",VLOOKUP($A72,'Pre-Assessment Estimator'!$A$10:$Z$226,R$2,FALSE))</f>
        <v/>
      </c>
      <c r="S72" s="578" t="str">
        <f>IF(VLOOKUP($A72,'Pre-Assessment Estimator'!$A$10:$Z$226,S$2,FALSE)=0,"",VLOOKUP($A72,'Pre-Assessment Estimator'!$A$10:$Z$226,S$2,FALSE))</f>
        <v/>
      </c>
      <c r="T72" s="581"/>
      <c r="U72" s="580" t="str">
        <f>IF(VLOOKUP($A72,'Pre-Assessment Estimator'!$A$10:$Z$226,U$2,FALSE)=0,"",VLOOKUP($A72,'Pre-Assessment Estimator'!$A$10:$Z$226,U$2,FALSE))</f>
        <v/>
      </c>
      <c r="V72" s="575">
        <f>VLOOKUP($A72,'Pre-Assessment Estimator'!$A$10:$Z$226,V$2,FALSE)</f>
        <v>0</v>
      </c>
      <c r="W72" s="574" t="str">
        <f>VLOOKUP($A72,'Pre-Assessment Estimator'!$A$10:$Z$226,W$2,FALSE)</f>
        <v>N/A</v>
      </c>
      <c r="X72" s="577" t="str">
        <f>IF(VLOOKUP($A72,'Pre-Assessment Estimator'!$A$10:$Z$226,X$2,FALSE)=0,"",VLOOKUP($A72,'Pre-Assessment Estimator'!$A$10:$Z$226,X$2,FALSE))</f>
        <v/>
      </c>
      <c r="Y72" s="577" t="str">
        <f>IF(VLOOKUP($A72,'Pre-Assessment Estimator'!$A$10:$Z$226,Y$2,FALSE)=0,"",VLOOKUP($A72,'Pre-Assessment Estimator'!$A$10:$Z$226,Y$2,FALSE))</f>
        <v/>
      </c>
      <c r="Z72" s="370" t="str">
        <f>IF(VLOOKUP($A72,'Pre-Assessment Estimator'!$A$10:$Z$226,Z$2,FALSE)=0,"",VLOOKUP($A72,'Pre-Assessment Estimator'!$A$10:$Z$226,Z$2,FALSE))</f>
        <v/>
      </c>
      <c r="AA72" s="696">
        <v>62</v>
      </c>
      <c r="AB72" s="577"/>
      <c r="AF72" s="386">
        <f t="shared" si="0"/>
        <v>1</v>
      </c>
    </row>
    <row r="73" spans="1:32" x14ac:dyDescent="0.25">
      <c r="A73" s="823">
        <v>64</v>
      </c>
      <c r="B73" s="1234" t="s">
        <v>66</v>
      </c>
      <c r="C73" s="1234"/>
      <c r="D73" s="1256" t="str">
        <f>VLOOKUP($A73,'Pre-Assessment Estimator'!$A$10:$Z$226,D$2,FALSE)</f>
        <v>Ene 02</v>
      </c>
      <c r="E73" s="1256" t="str">
        <f>VLOOKUP($A73,'Pre-Assessment Estimator'!$A$10:$Z$226,E$2,FALSE)</f>
        <v>Ene 02 Energy monitoring</v>
      </c>
      <c r="F73" s="574">
        <f>VLOOKUP($A73,'Pre-Assessment Estimator'!$A$10:$Z$226,F$2,FALSE)</f>
        <v>2</v>
      </c>
      <c r="G73" s="580" t="str">
        <f>IF(VLOOKUP($A73,'Pre-Assessment Estimator'!$A$10:$Z$226,G$2,FALSE)=0,"",VLOOKUP($A73,'Pre-Assessment Estimator'!$A$10:$Z$226,G$2,FALSE))</f>
        <v/>
      </c>
      <c r="H73" s="1220" t="str">
        <f>VLOOKUP($A73,'Pre-Assessment Estimator'!$A$10:$Z$226,H$2,FALSE)</f>
        <v>0 c. 0 %</v>
      </c>
      <c r="I73" s="576" t="str">
        <f>VLOOKUP($A73,'Pre-Assessment Estimator'!$A$10:$Z$226,I$2,FALSE)</f>
        <v>N/A</v>
      </c>
      <c r="J73" s="577" t="str">
        <f>IF(VLOOKUP($A73,'Pre-Assessment Estimator'!$A$10:$Z$226,J$2,FALSE)=0,"",VLOOKUP($A73,'Pre-Assessment Estimator'!$A$10:$Z$226,J$2,FALSE))</f>
        <v/>
      </c>
      <c r="K73" s="577" t="str">
        <f>IF(VLOOKUP($A73,'Pre-Assessment Estimator'!$A$10:$Z$226,K$2,FALSE)=0,"",VLOOKUP($A73,'Pre-Assessment Estimator'!$A$10:$Z$226,K$2,FALSE))</f>
        <v/>
      </c>
      <c r="L73" s="578" t="str">
        <f>IF(VLOOKUP($A73,'Pre-Assessment Estimator'!$A$10:$Z$226,L$2,FALSE)=0,"",VLOOKUP($A73,'Pre-Assessment Estimator'!$A$10:$Z$226,L$2,FALSE))</f>
        <v/>
      </c>
      <c r="M73" s="579"/>
      <c r="N73" s="580" t="str">
        <f>IF(VLOOKUP($A73,'Pre-Assessment Estimator'!$A$10:$Z$226,N$2,FALSE)=0,"",VLOOKUP($A73,'Pre-Assessment Estimator'!$A$10:$Z$226,N$2,FALSE))</f>
        <v/>
      </c>
      <c r="O73" s="575" t="str">
        <f>VLOOKUP($A73,'Pre-Assessment Estimator'!$A$10:$Z$226,O$2,FALSE)</f>
        <v>0 c. 0 %</v>
      </c>
      <c r="P73" s="574" t="str">
        <f>VLOOKUP($A73,'Pre-Assessment Estimator'!$A$10:$Z$226,P$2,FALSE)</f>
        <v>N/A</v>
      </c>
      <c r="Q73" s="577" t="str">
        <f>IF(VLOOKUP($A73,'Pre-Assessment Estimator'!$A$10:$Z$226,Q$2,FALSE)=0,"",VLOOKUP($A73,'Pre-Assessment Estimator'!$A$10:$Z$226,Q$2,FALSE))</f>
        <v/>
      </c>
      <c r="R73" s="577" t="str">
        <f>IF(VLOOKUP($A73,'Pre-Assessment Estimator'!$A$10:$Z$226,R$2,FALSE)=0,"",VLOOKUP($A73,'Pre-Assessment Estimator'!$A$10:$Z$226,R$2,FALSE))</f>
        <v/>
      </c>
      <c r="S73" s="578" t="str">
        <f>IF(VLOOKUP($A73,'Pre-Assessment Estimator'!$A$10:$Z$226,S$2,FALSE)=0,"",VLOOKUP($A73,'Pre-Assessment Estimator'!$A$10:$Z$226,S$2,FALSE))</f>
        <v/>
      </c>
      <c r="T73" s="581"/>
      <c r="U73" s="580" t="str">
        <f>IF(VLOOKUP($A73,'Pre-Assessment Estimator'!$A$10:$Z$226,U$2,FALSE)=0,"",VLOOKUP($A73,'Pre-Assessment Estimator'!$A$10:$Z$226,U$2,FALSE))</f>
        <v/>
      </c>
      <c r="V73" s="575" t="str">
        <f>VLOOKUP($A73,'Pre-Assessment Estimator'!$A$10:$Z$226,V$2,FALSE)</f>
        <v>0 c. 0 %</v>
      </c>
      <c r="W73" s="574" t="str">
        <f>VLOOKUP($A73,'Pre-Assessment Estimator'!$A$10:$Z$226,W$2,FALSE)</f>
        <v>N/A</v>
      </c>
      <c r="X73" s="577" t="str">
        <f>IF(VLOOKUP($A73,'Pre-Assessment Estimator'!$A$10:$Z$226,X$2,FALSE)=0,"",VLOOKUP($A73,'Pre-Assessment Estimator'!$A$10:$Z$226,X$2,FALSE))</f>
        <v/>
      </c>
      <c r="Y73" s="577" t="str">
        <f>IF(VLOOKUP($A73,'Pre-Assessment Estimator'!$A$10:$Z$226,Y$2,FALSE)=0,"",VLOOKUP($A73,'Pre-Assessment Estimator'!$A$10:$Z$226,Y$2,FALSE))</f>
        <v/>
      </c>
      <c r="Z73" s="370" t="str">
        <f>IF(VLOOKUP($A73,'Pre-Assessment Estimator'!$A$10:$Z$226,Z$2,FALSE)=0,"",VLOOKUP($A73,'Pre-Assessment Estimator'!$A$10:$Z$226,Z$2,FALSE))</f>
        <v/>
      </c>
      <c r="AA73" s="696">
        <v>63</v>
      </c>
      <c r="AB73" s="577"/>
      <c r="AF73" s="386">
        <f t="shared" si="0"/>
        <v>1</v>
      </c>
    </row>
    <row r="74" spans="1:32" x14ac:dyDescent="0.25">
      <c r="A74" s="823">
        <v>65</v>
      </c>
      <c r="B74" s="1234" t="s">
        <v>66</v>
      </c>
      <c r="C74" s="1234"/>
      <c r="D74" s="1257" t="str">
        <f>VLOOKUP($A74,'Pre-Assessment Estimator'!$A$10:$Z$226,D$2,FALSE)</f>
        <v>Ene 02</v>
      </c>
      <c r="E74" s="1258" t="str">
        <f>VLOOKUP($A74,'Pre-Assessment Estimator'!$A$10:$Z$226,E$2,FALSE)</f>
        <v xml:space="preserve">Sub-metering of end-use categories </v>
      </c>
      <c r="F74" s="574">
        <f>VLOOKUP($A74,'Pre-Assessment Estimator'!$A$10:$Z$226,F$2,FALSE)</f>
        <v>1</v>
      </c>
      <c r="G74" s="580" t="str">
        <f>IF(VLOOKUP($A74,'Pre-Assessment Estimator'!$A$10:$Z$226,G$2,FALSE)=0,"",VLOOKUP($A74,'Pre-Assessment Estimator'!$A$10:$Z$226,G$2,FALSE))</f>
        <v/>
      </c>
      <c r="H74" s="1220">
        <f>VLOOKUP($A74,'Pre-Assessment Estimator'!$A$10:$Z$226,H$2,FALSE)</f>
        <v>0</v>
      </c>
      <c r="I74" s="576" t="str">
        <f>VLOOKUP($A74,'Pre-Assessment Estimator'!$A$10:$Z$226,I$2,FALSE)</f>
        <v>N/A</v>
      </c>
      <c r="J74" s="577" t="str">
        <f>IF(VLOOKUP($A74,'Pre-Assessment Estimator'!$A$10:$Z$226,J$2,FALSE)=0,"",VLOOKUP($A74,'Pre-Assessment Estimator'!$A$10:$Z$226,J$2,FALSE))</f>
        <v/>
      </c>
      <c r="K74" s="577" t="str">
        <f>IF(VLOOKUP($A74,'Pre-Assessment Estimator'!$A$10:$Z$226,K$2,FALSE)=0,"",VLOOKUP($A74,'Pre-Assessment Estimator'!$A$10:$Z$226,K$2,FALSE))</f>
        <v/>
      </c>
      <c r="L74" s="578" t="str">
        <f>IF(VLOOKUP($A74,'Pre-Assessment Estimator'!$A$10:$Z$226,L$2,FALSE)=0,"",VLOOKUP($A74,'Pre-Assessment Estimator'!$A$10:$Z$226,L$2,FALSE))</f>
        <v/>
      </c>
      <c r="M74" s="579"/>
      <c r="N74" s="580" t="str">
        <f>IF(VLOOKUP($A74,'Pre-Assessment Estimator'!$A$10:$Z$226,N$2,FALSE)=0,"",VLOOKUP($A74,'Pre-Assessment Estimator'!$A$10:$Z$226,N$2,FALSE))</f>
        <v/>
      </c>
      <c r="O74" s="575">
        <f>VLOOKUP($A74,'Pre-Assessment Estimator'!$A$10:$Z$226,O$2,FALSE)</f>
        <v>0</v>
      </c>
      <c r="P74" s="574" t="str">
        <f>VLOOKUP($A74,'Pre-Assessment Estimator'!$A$10:$Z$226,P$2,FALSE)</f>
        <v>N/A</v>
      </c>
      <c r="Q74" s="577" t="str">
        <f>IF(VLOOKUP($A74,'Pre-Assessment Estimator'!$A$10:$Z$226,Q$2,FALSE)=0,"",VLOOKUP($A74,'Pre-Assessment Estimator'!$A$10:$Z$226,Q$2,FALSE))</f>
        <v/>
      </c>
      <c r="R74" s="577" t="str">
        <f>IF(VLOOKUP($A74,'Pre-Assessment Estimator'!$A$10:$Z$226,R$2,FALSE)=0,"",VLOOKUP($A74,'Pre-Assessment Estimator'!$A$10:$Z$226,R$2,FALSE))</f>
        <v/>
      </c>
      <c r="S74" s="578" t="str">
        <f>IF(VLOOKUP($A74,'Pre-Assessment Estimator'!$A$10:$Z$226,S$2,FALSE)=0,"",VLOOKUP($A74,'Pre-Assessment Estimator'!$A$10:$Z$226,S$2,FALSE))</f>
        <v/>
      </c>
      <c r="T74" s="581"/>
      <c r="U74" s="580" t="str">
        <f>IF(VLOOKUP($A74,'Pre-Assessment Estimator'!$A$10:$Z$226,U$2,FALSE)=0,"",VLOOKUP($A74,'Pre-Assessment Estimator'!$A$10:$Z$226,U$2,FALSE))</f>
        <v/>
      </c>
      <c r="V74" s="575">
        <f>VLOOKUP($A74,'Pre-Assessment Estimator'!$A$10:$Z$226,V$2,FALSE)</f>
        <v>0</v>
      </c>
      <c r="W74" s="574" t="str">
        <f>VLOOKUP($A74,'Pre-Assessment Estimator'!$A$10:$Z$226,W$2,FALSE)</f>
        <v>N/A</v>
      </c>
      <c r="X74" s="577" t="str">
        <f>IF(VLOOKUP($A74,'Pre-Assessment Estimator'!$A$10:$Z$226,X$2,FALSE)=0,"",VLOOKUP($A74,'Pre-Assessment Estimator'!$A$10:$Z$226,X$2,FALSE))</f>
        <v/>
      </c>
      <c r="Y74" s="577" t="str">
        <f>IF(VLOOKUP($A74,'Pre-Assessment Estimator'!$A$10:$Z$226,Y$2,FALSE)=0,"",VLOOKUP($A74,'Pre-Assessment Estimator'!$A$10:$Z$226,Y$2,FALSE))</f>
        <v/>
      </c>
      <c r="Z74" s="370" t="str">
        <f>IF(VLOOKUP($A74,'Pre-Assessment Estimator'!$A$10:$Z$226,Z$2,FALSE)=0,"",VLOOKUP($A74,'Pre-Assessment Estimator'!$A$10:$Z$226,Z$2,FALSE))</f>
        <v/>
      </c>
      <c r="AA74" s="696">
        <v>64</v>
      </c>
      <c r="AB74" s="577"/>
      <c r="AF74" s="386">
        <f t="shared" si="0"/>
        <v>1</v>
      </c>
    </row>
    <row r="75" spans="1:32" x14ac:dyDescent="0.25">
      <c r="A75" s="823">
        <v>66</v>
      </c>
      <c r="B75" s="1234" t="s">
        <v>66</v>
      </c>
      <c r="C75" s="1234"/>
      <c r="D75" s="1257" t="str">
        <f>VLOOKUP($A75,'Pre-Assessment Estimator'!$A$10:$Z$226,D$2,FALSE)</f>
        <v>Ene 02</v>
      </c>
      <c r="E75" s="1258" t="str">
        <f>VLOOKUP($A75,'Pre-Assessment Estimator'!$A$10:$Z$226,E$2,FALSE)</f>
        <v xml:space="preserve">Sub-metering of high energy load and tenancy areas </v>
      </c>
      <c r="F75" s="574">
        <f>VLOOKUP($A75,'Pre-Assessment Estimator'!$A$10:$Z$226,F$2,FALSE)</f>
        <v>1</v>
      </c>
      <c r="G75" s="580" t="str">
        <f>IF(VLOOKUP($A75,'Pre-Assessment Estimator'!$A$10:$Z$226,G$2,FALSE)=0,"",VLOOKUP($A75,'Pre-Assessment Estimator'!$A$10:$Z$226,G$2,FALSE))</f>
        <v/>
      </c>
      <c r="H75" s="1220">
        <f>VLOOKUP($A75,'Pre-Assessment Estimator'!$A$10:$Z$226,H$2,FALSE)</f>
        <v>0</v>
      </c>
      <c r="I75" s="576" t="str">
        <f>VLOOKUP($A75,'Pre-Assessment Estimator'!$A$10:$Z$226,I$2,FALSE)</f>
        <v>N/A</v>
      </c>
      <c r="J75" s="577" t="str">
        <f>IF(VLOOKUP($A75,'Pre-Assessment Estimator'!$A$10:$Z$226,J$2,FALSE)=0,"",VLOOKUP($A75,'Pre-Assessment Estimator'!$A$10:$Z$226,J$2,FALSE))</f>
        <v/>
      </c>
      <c r="K75" s="577" t="str">
        <f>IF(VLOOKUP($A75,'Pre-Assessment Estimator'!$A$10:$Z$226,K$2,FALSE)=0,"",VLOOKUP($A75,'Pre-Assessment Estimator'!$A$10:$Z$226,K$2,FALSE))</f>
        <v/>
      </c>
      <c r="L75" s="578" t="str">
        <f>IF(VLOOKUP($A75,'Pre-Assessment Estimator'!$A$10:$Z$226,L$2,FALSE)=0,"",VLOOKUP($A75,'Pre-Assessment Estimator'!$A$10:$Z$226,L$2,FALSE))</f>
        <v/>
      </c>
      <c r="M75" s="579"/>
      <c r="N75" s="580" t="str">
        <f>IF(VLOOKUP($A75,'Pre-Assessment Estimator'!$A$10:$Z$226,N$2,FALSE)=0,"",VLOOKUP($A75,'Pre-Assessment Estimator'!$A$10:$Z$226,N$2,FALSE))</f>
        <v/>
      </c>
      <c r="O75" s="575">
        <f>VLOOKUP($A75,'Pre-Assessment Estimator'!$A$10:$Z$226,O$2,FALSE)</f>
        <v>0</v>
      </c>
      <c r="P75" s="574" t="str">
        <f>VLOOKUP($A75,'Pre-Assessment Estimator'!$A$10:$Z$226,P$2,FALSE)</f>
        <v>N/A</v>
      </c>
      <c r="Q75" s="577" t="str">
        <f>IF(VLOOKUP($A75,'Pre-Assessment Estimator'!$A$10:$Z$226,Q$2,FALSE)=0,"",VLOOKUP($A75,'Pre-Assessment Estimator'!$A$10:$Z$226,Q$2,FALSE))</f>
        <v/>
      </c>
      <c r="R75" s="577" t="str">
        <f>IF(VLOOKUP($A75,'Pre-Assessment Estimator'!$A$10:$Z$226,R$2,FALSE)=0,"",VLOOKUP($A75,'Pre-Assessment Estimator'!$A$10:$Z$226,R$2,FALSE))</f>
        <v/>
      </c>
      <c r="S75" s="578" t="str">
        <f>IF(VLOOKUP($A75,'Pre-Assessment Estimator'!$A$10:$Z$226,S$2,FALSE)=0,"",VLOOKUP($A75,'Pre-Assessment Estimator'!$A$10:$Z$226,S$2,FALSE))</f>
        <v/>
      </c>
      <c r="T75" s="581"/>
      <c r="U75" s="580" t="str">
        <f>IF(VLOOKUP($A75,'Pre-Assessment Estimator'!$A$10:$Z$226,U$2,FALSE)=0,"",VLOOKUP($A75,'Pre-Assessment Estimator'!$A$10:$Z$226,U$2,FALSE))</f>
        <v/>
      </c>
      <c r="V75" s="575">
        <f>VLOOKUP($A75,'Pre-Assessment Estimator'!$A$10:$Z$226,V$2,FALSE)</f>
        <v>0</v>
      </c>
      <c r="W75" s="574" t="str">
        <f>VLOOKUP($A75,'Pre-Assessment Estimator'!$A$10:$Z$226,W$2,FALSE)</f>
        <v>N/A</v>
      </c>
      <c r="X75" s="577" t="str">
        <f>IF(VLOOKUP($A75,'Pre-Assessment Estimator'!$A$10:$Z$226,X$2,FALSE)=0,"",VLOOKUP($A75,'Pre-Assessment Estimator'!$A$10:$Z$226,X$2,FALSE))</f>
        <v/>
      </c>
      <c r="Y75" s="577" t="str">
        <f>IF(VLOOKUP($A75,'Pre-Assessment Estimator'!$A$10:$Z$226,Y$2,FALSE)=0,"",VLOOKUP($A75,'Pre-Assessment Estimator'!$A$10:$Z$226,Y$2,FALSE))</f>
        <v/>
      </c>
      <c r="Z75" s="370" t="str">
        <f>IF(VLOOKUP($A75,'Pre-Assessment Estimator'!$A$10:$Z$226,Z$2,FALSE)=0,"",VLOOKUP($A75,'Pre-Assessment Estimator'!$A$10:$Z$226,Z$2,FALSE))</f>
        <v/>
      </c>
      <c r="AA75" s="696">
        <v>65</v>
      </c>
      <c r="AB75" s="577"/>
      <c r="AF75" s="386">
        <f t="shared" si="0"/>
        <v>1</v>
      </c>
    </row>
    <row r="76" spans="1:32" x14ac:dyDescent="0.25">
      <c r="A76" s="823">
        <v>67</v>
      </c>
      <c r="B76" s="1234" t="s">
        <v>66</v>
      </c>
      <c r="C76" s="1234"/>
      <c r="D76" s="1257" t="str">
        <f>VLOOKUP($A76,'Pre-Assessment Estimator'!$A$10:$Z$226,D$2,FALSE)</f>
        <v>Ene 02</v>
      </c>
      <c r="E76" s="1258" t="str">
        <f>VLOOKUP($A76,'Pre-Assessment Estimator'!$A$10:$Z$226,E$2,FALSE)</f>
        <v xml:space="preserve">Sub-metering of energy consumption in residential buildings </v>
      </c>
      <c r="F76" s="574">
        <f>VLOOKUP($A76,'Pre-Assessment Estimator'!$A$10:$Z$226,F$2,FALSE)</f>
        <v>0</v>
      </c>
      <c r="G76" s="580" t="str">
        <f>IF(VLOOKUP($A76,'Pre-Assessment Estimator'!$A$10:$Z$226,G$2,FALSE)=0,"",VLOOKUP($A76,'Pre-Assessment Estimator'!$A$10:$Z$226,G$2,FALSE))</f>
        <v/>
      </c>
      <c r="H76" s="1220">
        <f>VLOOKUP($A76,'Pre-Assessment Estimator'!$A$10:$Z$226,H$2,FALSE)</f>
        <v>0</v>
      </c>
      <c r="I76" s="576" t="str">
        <f>VLOOKUP($A76,'Pre-Assessment Estimator'!$A$10:$Z$226,I$2,FALSE)</f>
        <v>N/A</v>
      </c>
      <c r="J76" s="577" t="str">
        <f>IF(VLOOKUP($A76,'Pre-Assessment Estimator'!$A$10:$Z$226,J$2,FALSE)=0,"",VLOOKUP($A76,'Pre-Assessment Estimator'!$A$10:$Z$226,J$2,FALSE))</f>
        <v/>
      </c>
      <c r="K76" s="577" t="str">
        <f>IF(VLOOKUP($A76,'Pre-Assessment Estimator'!$A$10:$Z$226,K$2,FALSE)=0,"",VLOOKUP($A76,'Pre-Assessment Estimator'!$A$10:$Z$226,K$2,FALSE))</f>
        <v/>
      </c>
      <c r="L76" s="578" t="str">
        <f>IF(VLOOKUP($A76,'Pre-Assessment Estimator'!$A$10:$Z$226,L$2,FALSE)=0,"",VLOOKUP($A76,'Pre-Assessment Estimator'!$A$10:$Z$226,L$2,FALSE))</f>
        <v/>
      </c>
      <c r="M76" s="579"/>
      <c r="N76" s="580" t="str">
        <f>IF(VLOOKUP($A76,'Pre-Assessment Estimator'!$A$10:$Z$226,N$2,FALSE)=0,"",VLOOKUP($A76,'Pre-Assessment Estimator'!$A$10:$Z$226,N$2,FALSE))</f>
        <v/>
      </c>
      <c r="O76" s="575">
        <f>VLOOKUP($A76,'Pre-Assessment Estimator'!$A$10:$Z$226,O$2,FALSE)</f>
        <v>0</v>
      </c>
      <c r="P76" s="574" t="str">
        <f>VLOOKUP($A76,'Pre-Assessment Estimator'!$A$10:$Z$226,P$2,FALSE)</f>
        <v>N/A</v>
      </c>
      <c r="Q76" s="577" t="str">
        <f>IF(VLOOKUP($A76,'Pre-Assessment Estimator'!$A$10:$Z$226,Q$2,FALSE)=0,"",VLOOKUP($A76,'Pre-Assessment Estimator'!$A$10:$Z$226,Q$2,FALSE))</f>
        <v/>
      </c>
      <c r="R76" s="577" t="str">
        <f>IF(VLOOKUP($A76,'Pre-Assessment Estimator'!$A$10:$Z$226,R$2,FALSE)=0,"",VLOOKUP($A76,'Pre-Assessment Estimator'!$A$10:$Z$226,R$2,FALSE))</f>
        <v/>
      </c>
      <c r="S76" s="578" t="str">
        <f>IF(VLOOKUP($A76,'Pre-Assessment Estimator'!$A$10:$Z$226,S$2,FALSE)=0,"",VLOOKUP($A76,'Pre-Assessment Estimator'!$A$10:$Z$226,S$2,FALSE))</f>
        <v/>
      </c>
      <c r="T76" s="581"/>
      <c r="U76" s="580" t="str">
        <f>IF(VLOOKUP($A76,'Pre-Assessment Estimator'!$A$10:$Z$226,U$2,FALSE)=0,"",VLOOKUP($A76,'Pre-Assessment Estimator'!$A$10:$Z$226,U$2,FALSE))</f>
        <v/>
      </c>
      <c r="V76" s="575">
        <f>VLOOKUP($A76,'Pre-Assessment Estimator'!$A$10:$Z$226,V$2,FALSE)</f>
        <v>0</v>
      </c>
      <c r="W76" s="574" t="str">
        <f>VLOOKUP($A76,'Pre-Assessment Estimator'!$A$10:$Z$226,W$2,FALSE)</f>
        <v>N/A</v>
      </c>
      <c r="X76" s="577" t="str">
        <f>IF(VLOOKUP($A76,'Pre-Assessment Estimator'!$A$10:$Z$226,X$2,FALSE)=0,"",VLOOKUP($A76,'Pre-Assessment Estimator'!$A$10:$Z$226,X$2,FALSE))</f>
        <v/>
      </c>
      <c r="Y76" s="577" t="str">
        <f>IF(VLOOKUP($A76,'Pre-Assessment Estimator'!$A$10:$Z$226,Y$2,FALSE)=0,"",VLOOKUP($A76,'Pre-Assessment Estimator'!$A$10:$Z$226,Y$2,FALSE))</f>
        <v/>
      </c>
      <c r="Z76" s="370" t="str">
        <f>IF(VLOOKUP($A76,'Pre-Assessment Estimator'!$A$10:$Z$226,Z$2,FALSE)=0,"",VLOOKUP($A76,'Pre-Assessment Estimator'!$A$10:$Z$226,Z$2,FALSE))</f>
        <v/>
      </c>
      <c r="AA76" s="696">
        <v>66</v>
      </c>
      <c r="AB76" s="577"/>
      <c r="AF76" s="386">
        <f t="shared" si="0"/>
        <v>2</v>
      </c>
    </row>
    <row r="77" spans="1:32" x14ac:dyDescent="0.25">
      <c r="A77" s="823">
        <v>68</v>
      </c>
      <c r="B77" s="1234" t="s">
        <v>66</v>
      </c>
      <c r="C77" s="1234"/>
      <c r="D77" s="1256" t="str">
        <f>VLOOKUP($A77,'Pre-Assessment Estimator'!$A$10:$Z$226,D$2,FALSE)</f>
        <v>Ene 03</v>
      </c>
      <c r="E77" s="1256" t="str">
        <f>VLOOKUP($A77,'Pre-Assessment Estimator'!$A$10:$Z$226,E$2,FALSE)</f>
        <v>Ene 03 External lighting</v>
      </c>
      <c r="F77" s="574">
        <f>VLOOKUP($A77,'Pre-Assessment Estimator'!$A$10:$Z$226,F$2,FALSE)</f>
        <v>1</v>
      </c>
      <c r="G77" s="580" t="str">
        <f>IF(VLOOKUP($A77,'Pre-Assessment Estimator'!$A$10:$Z$226,G$2,FALSE)=0,"",VLOOKUP($A77,'Pre-Assessment Estimator'!$A$10:$Z$226,G$2,FALSE))</f>
        <v/>
      </c>
      <c r="H77" s="1220" t="str">
        <f>VLOOKUP($A77,'Pre-Assessment Estimator'!$A$10:$Z$226,H$2,FALSE)</f>
        <v>0 c. 0 %</v>
      </c>
      <c r="I77" s="576" t="str">
        <f>VLOOKUP($A77,'Pre-Assessment Estimator'!$A$10:$Z$226,I$2,FALSE)</f>
        <v>N/A</v>
      </c>
      <c r="J77" s="577" t="str">
        <f>IF(VLOOKUP($A77,'Pre-Assessment Estimator'!$A$10:$Z$226,J$2,FALSE)=0,"",VLOOKUP($A77,'Pre-Assessment Estimator'!$A$10:$Z$226,J$2,FALSE))</f>
        <v/>
      </c>
      <c r="K77" s="577" t="str">
        <f>IF(VLOOKUP($A77,'Pre-Assessment Estimator'!$A$10:$Z$226,K$2,FALSE)=0,"",VLOOKUP($A77,'Pre-Assessment Estimator'!$A$10:$Z$226,K$2,FALSE))</f>
        <v/>
      </c>
      <c r="L77" s="578" t="str">
        <f>IF(VLOOKUP($A77,'Pre-Assessment Estimator'!$A$10:$Z$226,L$2,FALSE)=0,"",VLOOKUP($A77,'Pre-Assessment Estimator'!$A$10:$Z$226,L$2,FALSE))</f>
        <v/>
      </c>
      <c r="M77" s="579"/>
      <c r="N77" s="580" t="str">
        <f>IF(VLOOKUP($A77,'Pre-Assessment Estimator'!$A$10:$Z$226,N$2,FALSE)=0,"",VLOOKUP($A77,'Pre-Assessment Estimator'!$A$10:$Z$226,N$2,FALSE))</f>
        <v/>
      </c>
      <c r="O77" s="575" t="str">
        <f>VLOOKUP($A77,'Pre-Assessment Estimator'!$A$10:$Z$226,O$2,FALSE)</f>
        <v>0 c. 0 %</v>
      </c>
      <c r="P77" s="574" t="str">
        <f>VLOOKUP($A77,'Pre-Assessment Estimator'!$A$10:$Z$226,P$2,FALSE)</f>
        <v>N/A</v>
      </c>
      <c r="Q77" s="577" t="str">
        <f>IF(VLOOKUP($A77,'Pre-Assessment Estimator'!$A$10:$Z$226,Q$2,FALSE)=0,"",VLOOKUP($A77,'Pre-Assessment Estimator'!$A$10:$Z$226,Q$2,FALSE))</f>
        <v/>
      </c>
      <c r="R77" s="577" t="str">
        <f>IF(VLOOKUP($A77,'Pre-Assessment Estimator'!$A$10:$Z$226,R$2,FALSE)=0,"",VLOOKUP($A77,'Pre-Assessment Estimator'!$A$10:$Z$226,R$2,FALSE))</f>
        <v/>
      </c>
      <c r="S77" s="578" t="str">
        <f>IF(VLOOKUP($A77,'Pre-Assessment Estimator'!$A$10:$Z$226,S$2,FALSE)=0,"",VLOOKUP($A77,'Pre-Assessment Estimator'!$A$10:$Z$226,S$2,FALSE))</f>
        <v/>
      </c>
      <c r="T77" s="581"/>
      <c r="U77" s="580" t="str">
        <f>IF(VLOOKUP($A77,'Pre-Assessment Estimator'!$A$10:$Z$226,U$2,FALSE)=0,"",VLOOKUP($A77,'Pre-Assessment Estimator'!$A$10:$Z$226,U$2,FALSE))</f>
        <v/>
      </c>
      <c r="V77" s="575" t="str">
        <f>VLOOKUP($A77,'Pre-Assessment Estimator'!$A$10:$Z$226,V$2,FALSE)</f>
        <v>0 c. 0 %</v>
      </c>
      <c r="W77" s="574" t="str">
        <f>VLOOKUP($A77,'Pre-Assessment Estimator'!$A$10:$Z$226,W$2,FALSE)</f>
        <v>N/A</v>
      </c>
      <c r="X77" s="577" t="str">
        <f>IF(VLOOKUP($A77,'Pre-Assessment Estimator'!$A$10:$Z$226,X$2,FALSE)=0,"",VLOOKUP($A77,'Pre-Assessment Estimator'!$A$10:$Z$226,X$2,FALSE))</f>
        <v/>
      </c>
      <c r="Y77" s="577" t="str">
        <f>IF(VLOOKUP($A77,'Pre-Assessment Estimator'!$A$10:$Z$226,Y$2,FALSE)=0,"",VLOOKUP($A77,'Pre-Assessment Estimator'!$A$10:$Z$226,Y$2,FALSE))</f>
        <v/>
      </c>
      <c r="Z77" s="370" t="str">
        <f>IF(VLOOKUP($A77,'Pre-Assessment Estimator'!$A$10:$Z$226,Z$2,FALSE)=0,"",VLOOKUP($A77,'Pre-Assessment Estimator'!$A$10:$Z$226,Z$2,FALSE))</f>
        <v/>
      </c>
      <c r="AA77" s="696">
        <v>67</v>
      </c>
      <c r="AB77" s="577"/>
      <c r="AF77" s="386">
        <f t="shared" si="0"/>
        <v>1</v>
      </c>
    </row>
    <row r="78" spans="1:32" x14ac:dyDescent="0.25">
      <c r="A78" s="823">
        <v>69</v>
      </c>
      <c r="B78" s="1234" t="s">
        <v>66</v>
      </c>
      <c r="C78" s="1234"/>
      <c r="D78" s="1257" t="str">
        <f>VLOOKUP($A78,'Pre-Assessment Estimator'!$A$10:$Z$226,D$2,FALSE)</f>
        <v>Ene 03</v>
      </c>
      <c r="E78" s="1258" t="str">
        <f>VLOOKUP($A78,'Pre-Assessment Estimator'!$A$10:$Z$226,E$2,FALSE)</f>
        <v>No external lighting within the construction zone</v>
      </c>
      <c r="F78" s="574">
        <f>VLOOKUP($A78,'Pre-Assessment Estimator'!$A$10:$Z$226,F$2,FALSE)</f>
        <v>1</v>
      </c>
      <c r="G78" s="580" t="str">
        <f>IF(VLOOKUP($A78,'Pre-Assessment Estimator'!$A$10:$Z$226,G$2,FALSE)=0,"",VLOOKUP($A78,'Pre-Assessment Estimator'!$A$10:$Z$226,G$2,FALSE))</f>
        <v/>
      </c>
      <c r="H78" s="1220">
        <f>VLOOKUP($A78,'Pre-Assessment Estimator'!$A$10:$Z$226,H$2,FALSE)</f>
        <v>0</v>
      </c>
      <c r="I78" s="576" t="str">
        <f>VLOOKUP($A78,'Pre-Assessment Estimator'!$A$10:$Z$226,I$2,FALSE)</f>
        <v>N/A</v>
      </c>
      <c r="J78" s="577" t="str">
        <f>IF(VLOOKUP($A78,'Pre-Assessment Estimator'!$A$10:$Z$226,J$2,FALSE)=0,"",VLOOKUP($A78,'Pre-Assessment Estimator'!$A$10:$Z$226,J$2,FALSE))</f>
        <v/>
      </c>
      <c r="K78" s="577" t="str">
        <f>IF(VLOOKUP($A78,'Pre-Assessment Estimator'!$A$10:$Z$226,K$2,FALSE)=0,"",VLOOKUP($A78,'Pre-Assessment Estimator'!$A$10:$Z$226,K$2,FALSE))</f>
        <v/>
      </c>
      <c r="L78" s="578" t="str">
        <f>IF(VLOOKUP($A78,'Pre-Assessment Estimator'!$A$10:$Z$226,L$2,FALSE)=0,"",VLOOKUP($A78,'Pre-Assessment Estimator'!$A$10:$Z$226,L$2,FALSE))</f>
        <v/>
      </c>
      <c r="M78" s="579"/>
      <c r="N78" s="580" t="str">
        <f>IF(VLOOKUP($A78,'Pre-Assessment Estimator'!$A$10:$Z$226,N$2,FALSE)=0,"",VLOOKUP($A78,'Pre-Assessment Estimator'!$A$10:$Z$226,N$2,FALSE))</f>
        <v/>
      </c>
      <c r="O78" s="575">
        <f>VLOOKUP($A78,'Pre-Assessment Estimator'!$A$10:$Z$226,O$2,FALSE)</f>
        <v>0</v>
      </c>
      <c r="P78" s="574" t="str">
        <f>VLOOKUP($A78,'Pre-Assessment Estimator'!$A$10:$Z$226,P$2,FALSE)</f>
        <v>N/A</v>
      </c>
      <c r="Q78" s="577" t="str">
        <f>IF(VLOOKUP($A78,'Pre-Assessment Estimator'!$A$10:$Z$226,Q$2,FALSE)=0,"",VLOOKUP($A78,'Pre-Assessment Estimator'!$A$10:$Z$226,Q$2,FALSE))</f>
        <v/>
      </c>
      <c r="R78" s="577" t="str">
        <f>IF(VLOOKUP($A78,'Pre-Assessment Estimator'!$A$10:$Z$226,R$2,FALSE)=0,"",VLOOKUP($A78,'Pre-Assessment Estimator'!$A$10:$Z$226,R$2,FALSE))</f>
        <v/>
      </c>
      <c r="S78" s="578" t="str">
        <f>IF(VLOOKUP($A78,'Pre-Assessment Estimator'!$A$10:$Z$226,S$2,FALSE)=0,"",VLOOKUP($A78,'Pre-Assessment Estimator'!$A$10:$Z$226,S$2,FALSE))</f>
        <v/>
      </c>
      <c r="T78" s="581"/>
      <c r="U78" s="580" t="str">
        <f>IF(VLOOKUP($A78,'Pre-Assessment Estimator'!$A$10:$Z$226,U$2,FALSE)=0,"",VLOOKUP($A78,'Pre-Assessment Estimator'!$A$10:$Z$226,U$2,FALSE))</f>
        <v/>
      </c>
      <c r="V78" s="575">
        <f>VLOOKUP($A78,'Pre-Assessment Estimator'!$A$10:$Z$226,V$2,FALSE)</f>
        <v>0</v>
      </c>
      <c r="W78" s="574" t="str">
        <f>VLOOKUP($A78,'Pre-Assessment Estimator'!$A$10:$Z$226,W$2,FALSE)</f>
        <v>N/A</v>
      </c>
      <c r="X78" s="577" t="str">
        <f>IF(VLOOKUP($A78,'Pre-Assessment Estimator'!$A$10:$Z$226,X$2,FALSE)=0,"",VLOOKUP($A78,'Pre-Assessment Estimator'!$A$10:$Z$226,X$2,FALSE))</f>
        <v/>
      </c>
      <c r="Y78" s="577" t="str">
        <f>IF(VLOOKUP($A78,'Pre-Assessment Estimator'!$A$10:$Z$226,Y$2,FALSE)=0,"",VLOOKUP($A78,'Pre-Assessment Estimator'!$A$10:$Z$226,Y$2,FALSE))</f>
        <v/>
      </c>
      <c r="Z78" s="370" t="str">
        <f>IF(VLOOKUP($A78,'Pre-Assessment Estimator'!$A$10:$Z$226,Z$2,FALSE)=0,"",VLOOKUP($A78,'Pre-Assessment Estimator'!$A$10:$Z$226,Z$2,FALSE))</f>
        <v/>
      </c>
      <c r="AA78" s="696">
        <v>68</v>
      </c>
      <c r="AB78" s="577"/>
      <c r="AF78" s="386">
        <f t="shared" si="0"/>
        <v>1</v>
      </c>
    </row>
    <row r="79" spans="1:32" x14ac:dyDescent="0.25">
      <c r="A79" s="823">
        <v>70</v>
      </c>
      <c r="B79" s="1234" t="s">
        <v>66</v>
      </c>
      <c r="C79" s="1234"/>
      <c r="D79" s="1257" t="str">
        <f>VLOOKUP($A79,'Pre-Assessment Estimator'!$A$10:$Z$226,D$2,FALSE)</f>
        <v>Ene 03</v>
      </c>
      <c r="E79" s="1258" t="str">
        <f>VLOOKUP($A79,'Pre-Assessment Estimator'!$A$10:$Z$226,E$2,FALSE)</f>
        <v>External lighting within the construction zone</v>
      </c>
      <c r="F79" s="574">
        <f>VLOOKUP($A79,'Pre-Assessment Estimator'!$A$10:$Z$226,F$2,FALSE)</f>
        <v>0</v>
      </c>
      <c r="G79" s="580" t="str">
        <f>IF(VLOOKUP($A79,'Pre-Assessment Estimator'!$A$10:$Z$226,G$2,FALSE)=0,"",VLOOKUP($A79,'Pre-Assessment Estimator'!$A$10:$Z$226,G$2,FALSE))</f>
        <v/>
      </c>
      <c r="H79" s="1220">
        <f>VLOOKUP($A79,'Pre-Assessment Estimator'!$A$10:$Z$226,H$2,FALSE)</f>
        <v>0</v>
      </c>
      <c r="I79" s="576" t="str">
        <f>VLOOKUP($A79,'Pre-Assessment Estimator'!$A$10:$Z$226,I$2,FALSE)</f>
        <v>N/A</v>
      </c>
      <c r="J79" s="577" t="str">
        <f>IF(VLOOKUP($A79,'Pre-Assessment Estimator'!$A$10:$Z$226,J$2,FALSE)=0,"",VLOOKUP($A79,'Pre-Assessment Estimator'!$A$10:$Z$226,J$2,FALSE))</f>
        <v/>
      </c>
      <c r="K79" s="577" t="str">
        <f>IF(VLOOKUP($A79,'Pre-Assessment Estimator'!$A$10:$Z$226,K$2,FALSE)=0,"",VLOOKUP($A79,'Pre-Assessment Estimator'!$A$10:$Z$226,K$2,FALSE))</f>
        <v/>
      </c>
      <c r="L79" s="578" t="str">
        <f>IF(VLOOKUP($A79,'Pre-Assessment Estimator'!$A$10:$Z$226,L$2,FALSE)=0,"",VLOOKUP($A79,'Pre-Assessment Estimator'!$A$10:$Z$226,L$2,FALSE))</f>
        <v/>
      </c>
      <c r="M79" s="579"/>
      <c r="N79" s="580" t="str">
        <f>IF(VLOOKUP($A79,'Pre-Assessment Estimator'!$A$10:$Z$226,N$2,FALSE)=0,"",VLOOKUP($A79,'Pre-Assessment Estimator'!$A$10:$Z$226,N$2,FALSE))</f>
        <v/>
      </c>
      <c r="O79" s="575">
        <f>VLOOKUP($A79,'Pre-Assessment Estimator'!$A$10:$Z$226,O$2,FALSE)</f>
        <v>0</v>
      </c>
      <c r="P79" s="574" t="str">
        <f>VLOOKUP($A79,'Pre-Assessment Estimator'!$A$10:$Z$226,P$2,FALSE)</f>
        <v>N/A</v>
      </c>
      <c r="Q79" s="577" t="str">
        <f>IF(VLOOKUP($A79,'Pre-Assessment Estimator'!$A$10:$Z$226,Q$2,FALSE)=0,"",VLOOKUP($A79,'Pre-Assessment Estimator'!$A$10:$Z$226,Q$2,FALSE))</f>
        <v/>
      </c>
      <c r="R79" s="577" t="str">
        <f>IF(VLOOKUP($A79,'Pre-Assessment Estimator'!$A$10:$Z$226,R$2,FALSE)=0,"",VLOOKUP($A79,'Pre-Assessment Estimator'!$A$10:$Z$226,R$2,FALSE))</f>
        <v/>
      </c>
      <c r="S79" s="578" t="str">
        <f>IF(VLOOKUP($A79,'Pre-Assessment Estimator'!$A$10:$Z$226,S$2,FALSE)=0,"",VLOOKUP($A79,'Pre-Assessment Estimator'!$A$10:$Z$226,S$2,FALSE))</f>
        <v/>
      </c>
      <c r="T79" s="581"/>
      <c r="U79" s="580" t="str">
        <f>IF(VLOOKUP($A79,'Pre-Assessment Estimator'!$A$10:$Z$226,U$2,FALSE)=0,"",VLOOKUP($A79,'Pre-Assessment Estimator'!$A$10:$Z$226,U$2,FALSE))</f>
        <v/>
      </c>
      <c r="V79" s="575">
        <f>VLOOKUP($A79,'Pre-Assessment Estimator'!$A$10:$Z$226,V$2,FALSE)</f>
        <v>0</v>
      </c>
      <c r="W79" s="574" t="str">
        <f>VLOOKUP($A79,'Pre-Assessment Estimator'!$A$10:$Z$226,W$2,FALSE)</f>
        <v>N/A</v>
      </c>
      <c r="X79" s="577" t="str">
        <f>IF(VLOOKUP($A79,'Pre-Assessment Estimator'!$A$10:$Z$226,X$2,FALSE)=0,"",VLOOKUP($A79,'Pre-Assessment Estimator'!$A$10:$Z$226,X$2,FALSE))</f>
        <v/>
      </c>
      <c r="Y79" s="577" t="str">
        <f>IF(VLOOKUP($A79,'Pre-Assessment Estimator'!$A$10:$Z$226,Y$2,FALSE)=0,"",VLOOKUP($A79,'Pre-Assessment Estimator'!$A$10:$Z$226,Y$2,FALSE))</f>
        <v/>
      </c>
      <c r="Z79" s="370" t="str">
        <f>IF(VLOOKUP($A79,'Pre-Assessment Estimator'!$A$10:$Z$226,Z$2,FALSE)=0,"",VLOOKUP($A79,'Pre-Assessment Estimator'!$A$10:$Z$226,Z$2,FALSE))</f>
        <v/>
      </c>
      <c r="AA79" s="696">
        <v>69</v>
      </c>
      <c r="AB79" s="577"/>
      <c r="AF79" s="386">
        <f t="shared" si="0"/>
        <v>2</v>
      </c>
    </row>
    <row r="80" spans="1:32" x14ac:dyDescent="0.25">
      <c r="A80" s="823">
        <v>71</v>
      </c>
      <c r="B80" s="1234" t="s">
        <v>66</v>
      </c>
      <c r="C80" s="1234"/>
      <c r="D80" s="1256" t="str">
        <f>VLOOKUP($A80,'Pre-Assessment Estimator'!$A$10:$Z$226,D$2,FALSE)</f>
        <v>Ene 05</v>
      </c>
      <c r="E80" s="1256" t="str">
        <f>VLOOKUP($A80,'Pre-Assessment Estimator'!$A$10:$Z$226,E$2,FALSE)</f>
        <v>Ene 05 Energy efficient cold storage</v>
      </c>
      <c r="F80" s="574">
        <f>VLOOKUP($A80,'Pre-Assessment Estimator'!$A$10:$Z$226,F$2,FALSE)</f>
        <v>2</v>
      </c>
      <c r="G80" s="580" t="str">
        <f>IF(VLOOKUP($A80,'Pre-Assessment Estimator'!$A$10:$Z$226,G$2,FALSE)=0,"",VLOOKUP($A80,'Pre-Assessment Estimator'!$A$10:$Z$226,G$2,FALSE))</f>
        <v/>
      </c>
      <c r="H80" s="1220" t="str">
        <f>VLOOKUP($A80,'Pre-Assessment Estimator'!$A$10:$Z$226,H$2,FALSE)</f>
        <v>0 c. 0 %</v>
      </c>
      <c r="I80" s="576" t="str">
        <f>VLOOKUP($A80,'Pre-Assessment Estimator'!$A$10:$Z$226,I$2,FALSE)</f>
        <v>N/A</v>
      </c>
      <c r="J80" s="577" t="str">
        <f>IF(VLOOKUP($A80,'Pre-Assessment Estimator'!$A$10:$Z$226,J$2,FALSE)=0,"",VLOOKUP($A80,'Pre-Assessment Estimator'!$A$10:$Z$226,J$2,FALSE))</f>
        <v/>
      </c>
      <c r="K80" s="577" t="str">
        <f>IF(VLOOKUP($A80,'Pre-Assessment Estimator'!$A$10:$Z$226,K$2,FALSE)=0,"",VLOOKUP($A80,'Pre-Assessment Estimator'!$A$10:$Z$226,K$2,FALSE))</f>
        <v/>
      </c>
      <c r="L80" s="578" t="str">
        <f>IF(VLOOKUP($A80,'Pre-Assessment Estimator'!$A$10:$Z$226,L$2,FALSE)=0,"",VLOOKUP($A80,'Pre-Assessment Estimator'!$A$10:$Z$226,L$2,FALSE))</f>
        <v/>
      </c>
      <c r="M80" s="579"/>
      <c r="N80" s="580" t="str">
        <f>IF(VLOOKUP($A80,'Pre-Assessment Estimator'!$A$10:$Z$226,N$2,FALSE)=0,"",VLOOKUP($A80,'Pre-Assessment Estimator'!$A$10:$Z$226,N$2,FALSE))</f>
        <v/>
      </c>
      <c r="O80" s="575" t="str">
        <f>VLOOKUP($A80,'Pre-Assessment Estimator'!$A$10:$Z$226,O$2,FALSE)</f>
        <v>0 c. 0 %</v>
      </c>
      <c r="P80" s="574" t="str">
        <f>VLOOKUP($A80,'Pre-Assessment Estimator'!$A$10:$Z$226,P$2,FALSE)</f>
        <v>N/A</v>
      </c>
      <c r="Q80" s="577" t="str">
        <f>IF(VLOOKUP($A80,'Pre-Assessment Estimator'!$A$10:$Z$226,Q$2,FALSE)=0,"",VLOOKUP($A80,'Pre-Assessment Estimator'!$A$10:$Z$226,Q$2,FALSE))</f>
        <v/>
      </c>
      <c r="R80" s="577" t="str">
        <f>IF(VLOOKUP($A80,'Pre-Assessment Estimator'!$A$10:$Z$226,R$2,FALSE)=0,"",VLOOKUP($A80,'Pre-Assessment Estimator'!$A$10:$Z$226,R$2,FALSE))</f>
        <v/>
      </c>
      <c r="S80" s="578" t="str">
        <f>IF(VLOOKUP($A80,'Pre-Assessment Estimator'!$A$10:$Z$226,S$2,FALSE)=0,"",VLOOKUP($A80,'Pre-Assessment Estimator'!$A$10:$Z$226,S$2,FALSE))</f>
        <v/>
      </c>
      <c r="T80" s="581"/>
      <c r="U80" s="580" t="str">
        <f>IF(VLOOKUP($A80,'Pre-Assessment Estimator'!$A$10:$Z$226,U$2,FALSE)=0,"",VLOOKUP($A80,'Pre-Assessment Estimator'!$A$10:$Z$226,U$2,FALSE))</f>
        <v/>
      </c>
      <c r="V80" s="575" t="str">
        <f>VLOOKUP($A80,'Pre-Assessment Estimator'!$A$10:$Z$226,V$2,FALSE)</f>
        <v>0 c. 0 %</v>
      </c>
      <c r="W80" s="574" t="str">
        <f>VLOOKUP($A80,'Pre-Assessment Estimator'!$A$10:$Z$226,W$2,FALSE)</f>
        <v>N/A</v>
      </c>
      <c r="X80" s="577" t="str">
        <f>IF(VLOOKUP($A80,'Pre-Assessment Estimator'!$A$10:$Z$226,X$2,FALSE)=0,"",VLOOKUP($A80,'Pre-Assessment Estimator'!$A$10:$Z$226,X$2,FALSE))</f>
        <v/>
      </c>
      <c r="Y80" s="577" t="str">
        <f>IF(VLOOKUP($A80,'Pre-Assessment Estimator'!$A$10:$Z$226,Y$2,FALSE)=0,"",VLOOKUP($A80,'Pre-Assessment Estimator'!$A$10:$Z$226,Y$2,FALSE))</f>
        <v/>
      </c>
      <c r="Z80" s="370" t="str">
        <f>IF(VLOOKUP($A80,'Pre-Assessment Estimator'!$A$10:$Z$226,Z$2,FALSE)=0,"",VLOOKUP($A80,'Pre-Assessment Estimator'!$A$10:$Z$226,Z$2,FALSE))</f>
        <v/>
      </c>
      <c r="AA80" s="696">
        <v>70</v>
      </c>
      <c r="AB80" s="577"/>
      <c r="AF80" s="386">
        <f t="shared" si="0"/>
        <v>1</v>
      </c>
    </row>
    <row r="81" spans="1:32" x14ac:dyDescent="0.25">
      <c r="A81" s="823">
        <v>72</v>
      </c>
      <c r="B81" s="1234" t="s">
        <v>66</v>
      </c>
      <c r="C81" s="1234"/>
      <c r="D81" s="1257" t="str">
        <f>VLOOKUP($A81,'Pre-Assessment Estimator'!$A$10:$Z$226,D$2,FALSE)</f>
        <v>Ene 05</v>
      </c>
      <c r="E81" s="1258" t="str">
        <f>VLOOKUP($A81,'Pre-Assessment Estimator'!$A$10:$Z$226,E$2,FALSE)</f>
        <v xml:space="preserve">Design of energy efficient refrigeration- and freezing room </v>
      </c>
      <c r="F81" s="574">
        <f>VLOOKUP($A81,'Pre-Assessment Estimator'!$A$10:$Z$226,F$2,FALSE)</f>
        <v>1</v>
      </c>
      <c r="G81" s="580" t="str">
        <f>IF(VLOOKUP($A81,'Pre-Assessment Estimator'!$A$10:$Z$226,G$2,FALSE)=0,"",VLOOKUP($A81,'Pre-Assessment Estimator'!$A$10:$Z$226,G$2,FALSE))</f>
        <v/>
      </c>
      <c r="H81" s="1220">
        <f>VLOOKUP($A81,'Pre-Assessment Estimator'!$A$10:$Z$226,H$2,FALSE)</f>
        <v>0</v>
      </c>
      <c r="I81" s="576" t="str">
        <f>VLOOKUP($A81,'Pre-Assessment Estimator'!$A$10:$Z$226,I$2,FALSE)</f>
        <v>N/A</v>
      </c>
      <c r="J81" s="577" t="str">
        <f>IF(VLOOKUP($A81,'Pre-Assessment Estimator'!$A$10:$Z$226,J$2,FALSE)=0,"",VLOOKUP($A81,'Pre-Assessment Estimator'!$A$10:$Z$226,J$2,FALSE))</f>
        <v/>
      </c>
      <c r="K81" s="577" t="str">
        <f>IF(VLOOKUP($A81,'Pre-Assessment Estimator'!$A$10:$Z$226,K$2,FALSE)=0,"",VLOOKUP($A81,'Pre-Assessment Estimator'!$A$10:$Z$226,K$2,FALSE))</f>
        <v/>
      </c>
      <c r="L81" s="578" t="str">
        <f>IF(VLOOKUP($A81,'Pre-Assessment Estimator'!$A$10:$Z$226,L$2,FALSE)=0,"",VLOOKUP($A81,'Pre-Assessment Estimator'!$A$10:$Z$226,L$2,FALSE))</f>
        <v/>
      </c>
      <c r="M81" s="579"/>
      <c r="N81" s="580" t="str">
        <f>IF(VLOOKUP($A81,'Pre-Assessment Estimator'!$A$10:$Z$226,N$2,FALSE)=0,"",VLOOKUP($A81,'Pre-Assessment Estimator'!$A$10:$Z$226,N$2,FALSE))</f>
        <v/>
      </c>
      <c r="O81" s="575">
        <f>VLOOKUP($A81,'Pre-Assessment Estimator'!$A$10:$Z$226,O$2,FALSE)</f>
        <v>0</v>
      </c>
      <c r="P81" s="574" t="str">
        <f>VLOOKUP($A81,'Pre-Assessment Estimator'!$A$10:$Z$226,P$2,FALSE)</f>
        <v>N/A</v>
      </c>
      <c r="Q81" s="577" t="str">
        <f>IF(VLOOKUP($A81,'Pre-Assessment Estimator'!$A$10:$Z$226,Q$2,FALSE)=0,"",VLOOKUP($A81,'Pre-Assessment Estimator'!$A$10:$Z$226,Q$2,FALSE))</f>
        <v/>
      </c>
      <c r="R81" s="577" t="str">
        <f>IF(VLOOKUP($A81,'Pre-Assessment Estimator'!$A$10:$Z$226,R$2,FALSE)=0,"",VLOOKUP($A81,'Pre-Assessment Estimator'!$A$10:$Z$226,R$2,FALSE))</f>
        <v/>
      </c>
      <c r="S81" s="578" t="str">
        <f>IF(VLOOKUP($A81,'Pre-Assessment Estimator'!$A$10:$Z$226,S$2,FALSE)=0,"",VLOOKUP($A81,'Pre-Assessment Estimator'!$A$10:$Z$226,S$2,FALSE))</f>
        <v/>
      </c>
      <c r="T81" s="581"/>
      <c r="U81" s="580" t="str">
        <f>IF(VLOOKUP($A81,'Pre-Assessment Estimator'!$A$10:$Z$226,U$2,FALSE)=0,"",VLOOKUP($A81,'Pre-Assessment Estimator'!$A$10:$Z$226,U$2,FALSE))</f>
        <v/>
      </c>
      <c r="V81" s="575">
        <f>VLOOKUP($A81,'Pre-Assessment Estimator'!$A$10:$Z$226,V$2,FALSE)</f>
        <v>0</v>
      </c>
      <c r="W81" s="574" t="str">
        <f>VLOOKUP($A81,'Pre-Assessment Estimator'!$A$10:$Z$226,W$2,FALSE)</f>
        <v>N/A</v>
      </c>
      <c r="X81" s="577" t="str">
        <f>IF(VLOOKUP($A81,'Pre-Assessment Estimator'!$A$10:$Z$226,X$2,FALSE)=0,"",VLOOKUP($A81,'Pre-Assessment Estimator'!$A$10:$Z$226,X$2,FALSE))</f>
        <v/>
      </c>
      <c r="Y81" s="577" t="str">
        <f>IF(VLOOKUP($A81,'Pre-Assessment Estimator'!$A$10:$Z$226,Y$2,FALSE)=0,"",VLOOKUP($A81,'Pre-Assessment Estimator'!$A$10:$Z$226,Y$2,FALSE))</f>
        <v/>
      </c>
      <c r="Z81" s="370" t="str">
        <f>IF(VLOOKUP($A81,'Pre-Assessment Estimator'!$A$10:$Z$226,Z$2,FALSE)=0,"",VLOOKUP($A81,'Pre-Assessment Estimator'!$A$10:$Z$226,Z$2,FALSE))</f>
        <v/>
      </c>
      <c r="AA81" s="696">
        <v>71</v>
      </c>
      <c r="AB81" s="577"/>
      <c r="AF81" s="386">
        <f t="shared" si="0"/>
        <v>1</v>
      </c>
    </row>
    <row r="82" spans="1:32" x14ac:dyDescent="0.25">
      <c r="A82" s="823">
        <v>73</v>
      </c>
      <c r="B82" s="1234" t="s">
        <v>66</v>
      </c>
      <c r="C82" s="1234"/>
      <c r="D82" s="1257" t="str">
        <f>VLOOKUP($A82,'Pre-Assessment Estimator'!$A$10:$Z$226,D$2,FALSE)</f>
        <v>Ene 05</v>
      </c>
      <c r="E82" s="1258" t="str">
        <f>VLOOKUP($A82,'Pre-Assessment Estimator'!$A$10:$Z$226,E$2,FALSE)</f>
        <v xml:space="preserve">Indirect greenhouse gas emissions </v>
      </c>
      <c r="F82" s="574">
        <f>VLOOKUP($A82,'Pre-Assessment Estimator'!$A$10:$Z$226,F$2,FALSE)</f>
        <v>1</v>
      </c>
      <c r="G82" s="580" t="str">
        <f>IF(VLOOKUP($A82,'Pre-Assessment Estimator'!$A$10:$Z$226,G$2,FALSE)=0,"",VLOOKUP($A82,'Pre-Assessment Estimator'!$A$10:$Z$226,G$2,FALSE))</f>
        <v/>
      </c>
      <c r="H82" s="1220">
        <f>VLOOKUP($A82,'Pre-Assessment Estimator'!$A$10:$Z$226,H$2,FALSE)</f>
        <v>0</v>
      </c>
      <c r="I82" s="576" t="str">
        <f>VLOOKUP($A82,'Pre-Assessment Estimator'!$A$10:$Z$226,I$2,FALSE)</f>
        <v>N/A</v>
      </c>
      <c r="J82" s="577" t="str">
        <f>IF(VLOOKUP($A82,'Pre-Assessment Estimator'!$A$10:$Z$226,J$2,FALSE)=0,"",VLOOKUP($A82,'Pre-Assessment Estimator'!$A$10:$Z$226,J$2,FALSE))</f>
        <v/>
      </c>
      <c r="K82" s="577" t="str">
        <f>IF(VLOOKUP($A82,'Pre-Assessment Estimator'!$A$10:$Z$226,K$2,FALSE)=0,"",VLOOKUP($A82,'Pre-Assessment Estimator'!$A$10:$Z$226,K$2,FALSE))</f>
        <v/>
      </c>
      <c r="L82" s="578" t="str">
        <f>IF(VLOOKUP($A82,'Pre-Assessment Estimator'!$A$10:$Z$226,L$2,FALSE)=0,"",VLOOKUP($A82,'Pre-Assessment Estimator'!$A$10:$Z$226,L$2,FALSE))</f>
        <v/>
      </c>
      <c r="M82" s="579"/>
      <c r="N82" s="580" t="str">
        <f>IF(VLOOKUP($A82,'Pre-Assessment Estimator'!$A$10:$Z$226,N$2,FALSE)=0,"",VLOOKUP($A82,'Pre-Assessment Estimator'!$A$10:$Z$226,N$2,FALSE))</f>
        <v/>
      </c>
      <c r="O82" s="575">
        <f>VLOOKUP($A82,'Pre-Assessment Estimator'!$A$10:$Z$226,O$2,FALSE)</f>
        <v>0</v>
      </c>
      <c r="P82" s="574" t="str">
        <f>VLOOKUP($A82,'Pre-Assessment Estimator'!$A$10:$Z$226,P$2,FALSE)</f>
        <v>N/A</v>
      </c>
      <c r="Q82" s="577" t="str">
        <f>IF(VLOOKUP($A82,'Pre-Assessment Estimator'!$A$10:$Z$226,Q$2,FALSE)=0,"",VLOOKUP($A82,'Pre-Assessment Estimator'!$A$10:$Z$226,Q$2,FALSE))</f>
        <v/>
      </c>
      <c r="R82" s="577" t="str">
        <f>IF(VLOOKUP($A82,'Pre-Assessment Estimator'!$A$10:$Z$226,R$2,FALSE)=0,"",VLOOKUP($A82,'Pre-Assessment Estimator'!$A$10:$Z$226,R$2,FALSE))</f>
        <v/>
      </c>
      <c r="S82" s="578" t="str">
        <f>IF(VLOOKUP($A82,'Pre-Assessment Estimator'!$A$10:$Z$226,S$2,FALSE)=0,"",VLOOKUP($A82,'Pre-Assessment Estimator'!$A$10:$Z$226,S$2,FALSE))</f>
        <v/>
      </c>
      <c r="T82" s="581"/>
      <c r="U82" s="580" t="str">
        <f>IF(VLOOKUP($A82,'Pre-Assessment Estimator'!$A$10:$Z$226,U$2,FALSE)=0,"",VLOOKUP($A82,'Pre-Assessment Estimator'!$A$10:$Z$226,U$2,FALSE))</f>
        <v/>
      </c>
      <c r="V82" s="575">
        <f>VLOOKUP($A82,'Pre-Assessment Estimator'!$A$10:$Z$226,V$2,FALSE)</f>
        <v>0</v>
      </c>
      <c r="W82" s="574" t="str">
        <f>VLOOKUP($A82,'Pre-Assessment Estimator'!$A$10:$Z$226,W$2,FALSE)</f>
        <v>N/A</v>
      </c>
      <c r="X82" s="577" t="str">
        <f>IF(VLOOKUP($A82,'Pre-Assessment Estimator'!$A$10:$Z$226,X$2,FALSE)=0,"",VLOOKUP($A82,'Pre-Assessment Estimator'!$A$10:$Z$226,X$2,FALSE))</f>
        <v/>
      </c>
      <c r="Y82" s="577" t="str">
        <f>IF(VLOOKUP($A82,'Pre-Assessment Estimator'!$A$10:$Z$226,Y$2,FALSE)=0,"",VLOOKUP($A82,'Pre-Assessment Estimator'!$A$10:$Z$226,Y$2,FALSE))</f>
        <v/>
      </c>
      <c r="Z82" s="370" t="str">
        <f>IF(VLOOKUP($A82,'Pre-Assessment Estimator'!$A$10:$Z$226,Z$2,FALSE)=0,"",VLOOKUP($A82,'Pre-Assessment Estimator'!$A$10:$Z$226,Z$2,FALSE))</f>
        <v/>
      </c>
      <c r="AA82" s="696">
        <v>72</v>
      </c>
      <c r="AB82" s="577"/>
      <c r="AF82" s="386">
        <f t="shared" ref="AF82:AF145" si="2">IF(F82="",1,IF(F82=0,2,1))</f>
        <v>1</v>
      </c>
    </row>
    <row r="83" spans="1:32" x14ac:dyDescent="0.25">
      <c r="A83" s="823">
        <v>74</v>
      </c>
      <c r="B83" s="1234" t="s">
        <v>66</v>
      </c>
      <c r="C83" s="1234"/>
      <c r="D83" s="1256" t="str">
        <f>VLOOKUP($A83,'Pre-Assessment Estimator'!$A$10:$Z$226,D$2,FALSE)</f>
        <v>Ene 06</v>
      </c>
      <c r="E83" s="1256" t="str">
        <f>VLOOKUP($A83,'Pre-Assessment Estimator'!$A$10:$Z$226,E$2,FALSE)</f>
        <v>Ene 06 Energy efficient transportation systems</v>
      </c>
      <c r="F83" s="574">
        <f>VLOOKUP($A83,'Pre-Assessment Estimator'!$A$10:$Z$226,F$2,FALSE)</f>
        <v>3</v>
      </c>
      <c r="G83" s="580" t="str">
        <f>IF(VLOOKUP($A83,'Pre-Assessment Estimator'!$A$10:$Z$226,G$2,FALSE)=0,"",VLOOKUP($A83,'Pre-Assessment Estimator'!$A$10:$Z$226,G$2,FALSE))</f>
        <v/>
      </c>
      <c r="H83" s="1220" t="str">
        <f>VLOOKUP($A83,'Pre-Assessment Estimator'!$A$10:$Z$226,H$2,FALSE)</f>
        <v>0 c. 0 %</v>
      </c>
      <c r="I83" s="576" t="str">
        <f>VLOOKUP($A83,'Pre-Assessment Estimator'!$A$10:$Z$226,I$2,FALSE)</f>
        <v>N/A</v>
      </c>
      <c r="J83" s="577" t="str">
        <f>IF(VLOOKUP($A83,'Pre-Assessment Estimator'!$A$10:$Z$226,J$2,FALSE)=0,"",VLOOKUP($A83,'Pre-Assessment Estimator'!$A$10:$Z$226,J$2,FALSE))</f>
        <v/>
      </c>
      <c r="K83" s="577" t="str">
        <f>IF(VLOOKUP($A83,'Pre-Assessment Estimator'!$A$10:$Z$226,K$2,FALSE)=0,"",VLOOKUP($A83,'Pre-Assessment Estimator'!$A$10:$Z$226,K$2,FALSE))</f>
        <v/>
      </c>
      <c r="L83" s="578" t="str">
        <f>IF(VLOOKUP($A83,'Pre-Assessment Estimator'!$A$10:$Z$226,L$2,FALSE)=0,"",VLOOKUP($A83,'Pre-Assessment Estimator'!$A$10:$Z$226,L$2,FALSE))</f>
        <v/>
      </c>
      <c r="M83" s="579"/>
      <c r="N83" s="580" t="str">
        <f>IF(VLOOKUP($A83,'Pre-Assessment Estimator'!$A$10:$Z$226,N$2,FALSE)=0,"",VLOOKUP($A83,'Pre-Assessment Estimator'!$A$10:$Z$226,N$2,FALSE))</f>
        <v/>
      </c>
      <c r="O83" s="575" t="str">
        <f>VLOOKUP($A83,'Pre-Assessment Estimator'!$A$10:$Z$226,O$2,FALSE)</f>
        <v>0 c. 0 %</v>
      </c>
      <c r="P83" s="574" t="str">
        <f>VLOOKUP($A83,'Pre-Assessment Estimator'!$A$10:$Z$226,P$2,FALSE)</f>
        <v>N/A</v>
      </c>
      <c r="Q83" s="577" t="str">
        <f>IF(VLOOKUP($A83,'Pre-Assessment Estimator'!$A$10:$Z$226,Q$2,FALSE)=0,"",VLOOKUP($A83,'Pre-Assessment Estimator'!$A$10:$Z$226,Q$2,FALSE))</f>
        <v/>
      </c>
      <c r="R83" s="577" t="str">
        <f>IF(VLOOKUP($A83,'Pre-Assessment Estimator'!$A$10:$Z$226,R$2,FALSE)=0,"",VLOOKUP($A83,'Pre-Assessment Estimator'!$A$10:$Z$226,R$2,FALSE))</f>
        <v/>
      </c>
      <c r="S83" s="578" t="str">
        <f>IF(VLOOKUP($A83,'Pre-Assessment Estimator'!$A$10:$Z$226,S$2,FALSE)=0,"",VLOOKUP($A83,'Pre-Assessment Estimator'!$A$10:$Z$226,S$2,FALSE))</f>
        <v/>
      </c>
      <c r="T83" s="581"/>
      <c r="U83" s="580" t="str">
        <f>IF(VLOOKUP($A83,'Pre-Assessment Estimator'!$A$10:$Z$226,U$2,FALSE)=0,"",VLOOKUP($A83,'Pre-Assessment Estimator'!$A$10:$Z$226,U$2,FALSE))</f>
        <v/>
      </c>
      <c r="V83" s="575" t="str">
        <f>VLOOKUP($A83,'Pre-Assessment Estimator'!$A$10:$Z$226,V$2,FALSE)</f>
        <v>0 c. 0 %</v>
      </c>
      <c r="W83" s="574" t="str">
        <f>VLOOKUP($A83,'Pre-Assessment Estimator'!$A$10:$Z$226,W$2,FALSE)</f>
        <v>N/A</v>
      </c>
      <c r="X83" s="577" t="str">
        <f>IF(VLOOKUP($A83,'Pre-Assessment Estimator'!$A$10:$Z$226,X$2,FALSE)=0,"",VLOOKUP($A83,'Pre-Assessment Estimator'!$A$10:$Z$226,X$2,FALSE))</f>
        <v/>
      </c>
      <c r="Y83" s="577" t="str">
        <f>IF(VLOOKUP($A83,'Pre-Assessment Estimator'!$A$10:$Z$226,Y$2,FALSE)=0,"",VLOOKUP($A83,'Pre-Assessment Estimator'!$A$10:$Z$226,Y$2,FALSE))</f>
        <v/>
      </c>
      <c r="Z83" s="370" t="str">
        <f>IF(VLOOKUP($A83,'Pre-Assessment Estimator'!$A$10:$Z$226,Z$2,FALSE)=0,"",VLOOKUP($A83,'Pre-Assessment Estimator'!$A$10:$Z$226,Z$2,FALSE))</f>
        <v/>
      </c>
      <c r="AA83" s="696">
        <v>73</v>
      </c>
      <c r="AB83" s="577"/>
      <c r="AF83" s="386">
        <f t="shared" si="2"/>
        <v>1</v>
      </c>
    </row>
    <row r="84" spans="1:32" x14ac:dyDescent="0.25">
      <c r="A84" s="823">
        <v>75</v>
      </c>
      <c r="B84" s="1234" t="s">
        <v>66</v>
      </c>
      <c r="C84" s="1234"/>
      <c r="D84" s="1257" t="str">
        <f>VLOOKUP($A84,'Pre-Assessment Estimator'!$A$10:$Z$226,D$2,FALSE)</f>
        <v>Ene 06</v>
      </c>
      <c r="E84" s="1258" t="str">
        <f>VLOOKUP($A84,'Pre-Assessment Estimator'!$A$10:$Z$226,E$2,FALSE)</f>
        <v>Transport needs and usage patterns</v>
      </c>
      <c r="F84" s="574">
        <f>VLOOKUP($A84,'Pre-Assessment Estimator'!$A$10:$Z$226,F$2,FALSE)</f>
        <v>1</v>
      </c>
      <c r="G84" s="580" t="str">
        <f>IF(VLOOKUP($A84,'Pre-Assessment Estimator'!$A$10:$Z$226,G$2,FALSE)=0,"",VLOOKUP($A84,'Pre-Assessment Estimator'!$A$10:$Z$226,G$2,FALSE))</f>
        <v/>
      </c>
      <c r="H84" s="1220">
        <f>VLOOKUP($A84,'Pre-Assessment Estimator'!$A$10:$Z$226,H$2,FALSE)</f>
        <v>0</v>
      </c>
      <c r="I84" s="576" t="str">
        <f>VLOOKUP($A84,'Pre-Assessment Estimator'!$A$10:$Z$226,I$2,FALSE)</f>
        <v>N/A</v>
      </c>
      <c r="J84" s="577" t="str">
        <f>IF(VLOOKUP($A84,'Pre-Assessment Estimator'!$A$10:$Z$226,J$2,FALSE)=0,"",VLOOKUP($A84,'Pre-Assessment Estimator'!$A$10:$Z$226,J$2,FALSE))</f>
        <v/>
      </c>
      <c r="K84" s="577" t="str">
        <f>IF(VLOOKUP($A84,'Pre-Assessment Estimator'!$A$10:$Z$226,K$2,FALSE)=0,"",VLOOKUP($A84,'Pre-Assessment Estimator'!$A$10:$Z$226,K$2,FALSE))</f>
        <v/>
      </c>
      <c r="L84" s="578" t="str">
        <f>IF(VLOOKUP($A84,'Pre-Assessment Estimator'!$A$10:$Z$226,L$2,FALSE)=0,"",VLOOKUP($A84,'Pre-Assessment Estimator'!$A$10:$Z$226,L$2,FALSE))</f>
        <v/>
      </c>
      <c r="M84" s="579"/>
      <c r="N84" s="580" t="str">
        <f>IF(VLOOKUP($A84,'Pre-Assessment Estimator'!$A$10:$Z$226,N$2,FALSE)=0,"",VLOOKUP($A84,'Pre-Assessment Estimator'!$A$10:$Z$226,N$2,FALSE))</f>
        <v/>
      </c>
      <c r="O84" s="575">
        <f>VLOOKUP($A84,'Pre-Assessment Estimator'!$A$10:$Z$226,O$2,FALSE)</f>
        <v>0</v>
      </c>
      <c r="P84" s="574" t="str">
        <f>VLOOKUP($A84,'Pre-Assessment Estimator'!$A$10:$Z$226,P$2,FALSE)</f>
        <v>N/A</v>
      </c>
      <c r="Q84" s="577" t="str">
        <f>IF(VLOOKUP($A84,'Pre-Assessment Estimator'!$A$10:$Z$226,Q$2,FALSE)=0,"",VLOOKUP($A84,'Pre-Assessment Estimator'!$A$10:$Z$226,Q$2,FALSE))</f>
        <v/>
      </c>
      <c r="R84" s="577" t="str">
        <f>IF(VLOOKUP($A84,'Pre-Assessment Estimator'!$A$10:$Z$226,R$2,FALSE)=0,"",VLOOKUP($A84,'Pre-Assessment Estimator'!$A$10:$Z$226,R$2,FALSE))</f>
        <v/>
      </c>
      <c r="S84" s="578" t="str">
        <f>IF(VLOOKUP($A84,'Pre-Assessment Estimator'!$A$10:$Z$226,S$2,FALSE)=0,"",VLOOKUP($A84,'Pre-Assessment Estimator'!$A$10:$Z$226,S$2,FALSE))</f>
        <v/>
      </c>
      <c r="T84" s="581"/>
      <c r="U84" s="580" t="str">
        <f>IF(VLOOKUP($A84,'Pre-Assessment Estimator'!$A$10:$Z$226,U$2,FALSE)=0,"",VLOOKUP($A84,'Pre-Assessment Estimator'!$A$10:$Z$226,U$2,FALSE))</f>
        <v/>
      </c>
      <c r="V84" s="575">
        <f>VLOOKUP($A84,'Pre-Assessment Estimator'!$A$10:$Z$226,V$2,FALSE)</f>
        <v>0</v>
      </c>
      <c r="W84" s="574" t="str">
        <f>VLOOKUP($A84,'Pre-Assessment Estimator'!$A$10:$Z$226,W$2,FALSE)</f>
        <v>N/A</v>
      </c>
      <c r="X84" s="577" t="str">
        <f>IF(VLOOKUP($A84,'Pre-Assessment Estimator'!$A$10:$Z$226,X$2,FALSE)=0,"",VLOOKUP($A84,'Pre-Assessment Estimator'!$A$10:$Z$226,X$2,FALSE))</f>
        <v/>
      </c>
      <c r="Y84" s="577" t="str">
        <f>IF(VLOOKUP($A84,'Pre-Assessment Estimator'!$A$10:$Z$226,Y$2,FALSE)=0,"",VLOOKUP($A84,'Pre-Assessment Estimator'!$A$10:$Z$226,Y$2,FALSE))</f>
        <v/>
      </c>
      <c r="Z84" s="370" t="str">
        <f>IF(VLOOKUP($A84,'Pre-Assessment Estimator'!$A$10:$Z$226,Z$2,FALSE)=0,"",VLOOKUP($A84,'Pre-Assessment Estimator'!$A$10:$Z$226,Z$2,FALSE))</f>
        <v/>
      </c>
      <c r="AA84" s="696">
        <v>74</v>
      </c>
      <c r="AB84" s="577"/>
      <c r="AF84" s="386">
        <f t="shared" si="2"/>
        <v>1</v>
      </c>
    </row>
    <row r="85" spans="1:32" x14ac:dyDescent="0.25">
      <c r="A85" s="823">
        <v>76</v>
      </c>
      <c r="B85" s="1234" t="s">
        <v>66</v>
      </c>
      <c r="C85" s="1234"/>
      <c r="D85" s="1257" t="str">
        <f>VLOOKUP($A85,'Pre-Assessment Estimator'!$A$10:$Z$226,D$2,FALSE)</f>
        <v>Ene 06</v>
      </c>
      <c r="E85" s="1258" t="str">
        <f>VLOOKUP($A85,'Pre-Assessment Estimator'!$A$10:$Z$226,E$2,FALSE)</f>
        <v>Energy efficient features: lifts</v>
      </c>
      <c r="F85" s="574">
        <f>VLOOKUP($A85,'Pre-Assessment Estimator'!$A$10:$Z$226,F$2,FALSE)</f>
        <v>1</v>
      </c>
      <c r="G85" s="580" t="str">
        <f>IF(VLOOKUP($A85,'Pre-Assessment Estimator'!$A$10:$Z$226,G$2,FALSE)=0,"",VLOOKUP($A85,'Pre-Assessment Estimator'!$A$10:$Z$226,G$2,FALSE))</f>
        <v/>
      </c>
      <c r="H85" s="1220">
        <f>VLOOKUP($A85,'Pre-Assessment Estimator'!$A$10:$Z$226,H$2,FALSE)</f>
        <v>0</v>
      </c>
      <c r="I85" s="576" t="str">
        <f>VLOOKUP($A85,'Pre-Assessment Estimator'!$A$10:$Z$226,I$2,FALSE)</f>
        <v>N/A</v>
      </c>
      <c r="J85" s="577" t="str">
        <f>IF(VLOOKUP($A85,'Pre-Assessment Estimator'!$A$10:$Z$226,J$2,FALSE)=0,"",VLOOKUP($A85,'Pre-Assessment Estimator'!$A$10:$Z$226,J$2,FALSE))</f>
        <v/>
      </c>
      <c r="K85" s="577" t="str">
        <f>IF(VLOOKUP($A85,'Pre-Assessment Estimator'!$A$10:$Z$226,K$2,FALSE)=0,"",VLOOKUP($A85,'Pre-Assessment Estimator'!$A$10:$Z$226,K$2,FALSE))</f>
        <v/>
      </c>
      <c r="L85" s="578" t="str">
        <f>IF(VLOOKUP($A85,'Pre-Assessment Estimator'!$A$10:$Z$226,L$2,FALSE)=0,"",VLOOKUP($A85,'Pre-Assessment Estimator'!$A$10:$Z$226,L$2,FALSE))</f>
        <v/>
      </c>
      <c r="M85" s="579"/>
      <c r="N85" s="580" t="str">
        <f>IF(VLOOKUP($A85,'Pre-Assessment Estimator'!$A$10:$Z$226,N$2,FALSE)=0,"",VLOOKUP($A85,'Pre-Assessment Estimator'!$A$10:$Z$226,N$2,FALSE))</f>
        <v/>
      </c>
      <c r="O85" s="575">
        <f>VLOOKUP($A85,'Pre-Assessment Estimator'!$A$10:$Z$226,O$2,FALSE)</f>
        <v>0</v>
      </c>
      <c r="P85" s="574" t="str">
        <f>VLOOKUP($A85,'Pre-Assessment Estimator'!$A$10:$Z$226,P$2,FALSE)</f>
        <v>N/A</v>
      </c>
      <c r="Q85" s="577" t="str">
        <f>IF(VLOOKUP($A85,'Pre-Assessment Estimator'!$A$10:$Z$226,Q$2,FALSE)=0,"",VLOOKUP($A85,'Pre-Assessment Estimator'!$A$10:$Z$226,Q$2,FALSE))</f>
        <v/>
      </c>
      <c r="R85" s="577" t="str">
        <f>IF(VLOOKUP($A85,'Pre-Assessment Estimator'!$A$10:$Z$226,R$2,FALSE)=0,"",VLOOKUP($A85,'Pre-Assessment Estimator'!$A$10:$Z$226,R$2,FALSE))</f>
        <v/>
      </c>
      <c r="S85" s="578" t="str">
        <f>IF(VLOOKUP($A85,'Pre-Assessment Estimator'!$A$10:$Z$226,S$2,FALSE)=0,"",VLOOKUP($A85,'Pre-Assessment Estimator'!$A$10:$Z$226,S$2,FALSE))</f>
        <v/>
      </c>
      <c r="T85" s="581"/>
      <c r="U85" s="580" t="str">
        <f>IF(VLOOKUP($A85,'Pre-Assessment Estimator'!$A$10:$Z$226,U$2,FALSE)=0,"",VLOOKUP($A85,'Pre-Assessment Estimator'!$A$10:$Z$226,U$2,FALSE))</f>
        <v/>
      </c>
      <c r="V85" s="575">
        <f>VLOOKUP($A85,'Pre-Assessment Estimator'!$A$10:$Z$226,V$2,FALSE)</f>
        <v>0</v>
      </c>
      <c r="W85" s="574" t="str">
        <f>VLOOKUP($A85,'Pre-Assessment Estimator'!$A$10:$Z$226,W$2,FALSE)</f>
        <v>N/A</v>
      </c>
      <c r="X85" s="577" t="str">
        <f>IF(VLOOKUP($A85,'Pre-Assessment Estimator'!$A$10:$Z$226,X$2,FALSE)=0,"",VLOOKUP($A85,'Pre-Assessment Estimator'!$A$10:$Z$226,X$2,FALSE))</f>
        <v/>
      </c>
      <c r="Y85" s="577" t="str">
        <f>IF(VLOOKUP($A85,'Pre-Assessment Estimator'!$A$10:$Z$226,Y$2,FALSE)=0,"",VLOOKUP($A85,'Pre-Assessment Estimator'!$A$10:$Z$226,Y$2,FALSE))</f>
        <v/>
      </c>
      <c r="Z85" s="370" t="str">
        <f>IF(VLOOKUP($A85,'Pre-Assessment Estimator'!$A$10:$Z$226,Z$2,FALSE)=0,"",VLOOKUP($A85,'Pre-Assessment Estimator'!$A$10:$Z$226,Z$2,FALSE))</f>
        <v/>
      </c>
      <c r="AA85" s="696">
        <v>75</v>
      </c>
      <c r="AB85" s="577"/>
      <c r="AF85" s="386">
        <f t="shared" si="2"/>
        <v>1</v>
      </c>
    </row>
    <row r="86" spans="1:32" x14ac:dyDescent="0.25">
      <c r="A86" s="823">
        <v>77</v>
      </c>
      <c r="B86" s="1234" t="s">
        <v>66</v>
      </c>
      <c r="C86" s="1234"/>
      <c r="D86" s="1257" t="str">
        <f>VLOOKUP($A86,'Pre-Assessment Estimator'!$A$10:$Z$226,D$2,FALSE)</f>
        <v>Ene 06</v>
      </c>
      <c r="E86" s="1258" t="str">
        <f>VLOOKUP($A86,'Pre-Assessment Estimator'!$A$10:$Z$226,E$2,FALSE)</f>
        <v>Energy efficient features: escalators or moving walks</v>
      </c>
      <c r="F86" s="574">
        <f>VLOOKUP($A86,'Pre-Assessment Estimator'!$A$10:$Z$226,F$2,FALSE)</f>
        <v>1</v>
      </c>
      <c r="G86" s="580" t="str">
        <f>IF(VLOOKUP($A86,'Pre-Assessment Estimator'!$A$10:$Z$226,G$2,FALSE)=0,"",VLOOKUP($A86,'Pre-Assessment Estimator'!$A$10:$Z$226,G$2,FALSE))</f>
        <v/>
      </c>
      <c r="H86" s="1220">
        <f>VLOOKUP($A86,'Pre-Assessment Estimator'!$A$10:$Z$226,H$2,FALSE)</f>
        <v>0</v>
      </c>
      <c r="I86" s="576" t="str">
        <f>VLOOKUP($A86,'Pre-Assessment Estimator'!$A$10:$Z$226,I$2,FALSE)</f>
        <v>N/A</v>
      </c>
      <c r="J86" s="577" t="str">
        <f>IF(VLOOKUP($A86,'Pre-Assessment Estimator'!$A$10:$Z$226,J$2,FALSE)=0,"",VLOOKUP($A86,'Pre-Assessment Estimator'!$A$10:$Z$226,J$2,FALSE))</f>
        <v/>
      </c>
      <c r="K86" s="577" t="str">
        <f>IF(VLOOKUP($A86,'Pre-Assessment Estimator'!$A$10:$Z$226,K$2,FALSE)=0,"",VLOOKUP($A86,'Pre-Assessment Estimator'!$A$10:$Z$226,K$2,FALSE))</f>
        <v/>
      </c>
      <c r="L86" s="578" t="str">
        <f>IF(VLOOKUP($A86,'Pre-Assessment Estimator'!$A$10:$Z$226,L$2,FALSE)=0,"",VLOOKUP($A86,'Pre-Assessment Estimator'!$A$10:$Z$226,L$2,FALSE))</f>
        <v/>
      </c>
      <c r="M86" s="579"/>
      <c r="N86" s="580" t="str">
        <f>IF(VLOOKUP($A86,'Pre-Assessment Estimator'!$A$10:$Z$226,N$2,FALSE)=0,"",VLOOKUP($A86,'Pre-Assessment Estimator'!$A$10:$Z$226,N$2,FALSE))</f>
        <v/>
      </c>
      <c r="O86" s="575">
        <f>VLOOKUP($A86,'Pre-Assessment Estimator'!$A$10:$Z$226,O$2,FALSE)</f>
        <v>0</v>
      </c>
      <c r="P86" s="574" t="str">
        <f>VLOOKUP($A86,'Pre-Assessment Estimator'!$A$10:$Z$226,P$2,FALSE)</f>
        <v>N/A</v>
      </c>
      <c r="Q86" s="577" t="str">
        <f>IF(VLOOKUP($A86,'Pre-Assessment Estimator'!$A$10:$Z$226,Q$2,FALSE)=0,"",VLOOKUP($A86,'Pre-Assessment Estimator'!$A$10:$Z$226,Q$2,FALSE))</f>
        <v/>
      </c>
      <c r="R86" s="577" t="str">
        <f>IF(VLOOKUP($A86,'Pre-Assessment Estimator'!$A$10:$Z$226,R$2,FALSE)=0,"",VLOOKUP($A86,'Pre-Assessment Estimator'!$A$10:$Z$226,R$2,FALSE))</f>
        <v/>
      </c>
      <c r="S86" s="578" t="str">
        <f>IF(VLOOKUP($A86,'Pre-Assessment Estimator'!$A$10:$Z$226,S$2,FALSE)=0,"",VLOOKUP($A86,'Pre-Assessment Estimator'!$A$10:$Z$226,S$2,FALSE))</f>
        <v/>
      </c>
      <c r="T86" s="581"/>
      <c r="U86" s="580" t="str">
        <f>IF(VLOOKUP($A86,'Pre-Assessment Estimator'!$A$10:$Z$226,U$2,FALSE)=0,"",VLOOKUP($A86,'Pre-Assessment Estimator'!$A$10:$Z$226,U$2,FALSE))</f>
        <v/>
      </c>
      <c r="V86" s="575">
        <f>VLOOKUP($A86,'Pre-Assessment Estimator'!$A$10:$Z$226,V$2,FALSE)</f>
        <v>0</v>
      </c>
      <c r="W86" s="574" t="str">
        <f>VLOOKUP($A86,'Pre-Assessment Estimator'!$A$10:$Z$226,W$2,FALSE)</f>
        <v>N/A</v>
      </c>
      <c r="X86" s="577" t="str">
        <f>IF(VLOOKUP($A86,'Pre-Assessment Estimator'!$A$10:$Z$226,X$2,FALSE)=0,"",VLOOKUP($A86,'Pre-Assessment Estimator'!$A$10:$Z$226,X$2,FALSE))</f>
        <v/>
      </c>
      <c r="Y86" s="577" t="str">
        <f>IF(VLOOKUP($A86,'Pre-Assessment Estimator'!$A$10:$Z$226,Y$2,FALSE)=0,"",VLOOKUP($A86,'Pre-Assessment Estimator'!$A$10:$Z$226,Y$2,FALSE))</f>
        <v/>
      </c>
      <c r="Z86" s="370" t="str">
        <f>IF(VLOOKUP($A86,'Pre-Assessment Estimator'!$A$10:$Z$226,Z$2,FALSE)=0,"",VLOOKUP($A86,'Pre-Assessment Estimator'!$A$10:$Z$226,Z$2,FALSE))</f>
        <v/>
      </c>
      <c r="AA86" s="696">
        <v>76</v>
      </c>
      <c r="AB86" s="577"/>
      <c r="AF86" s="386">
        <f t="shared" si="2"/>
        <v>1</v>
      </c>
    </row>
    <row r="87" spans="1:32" x14ac:dyDescent="0.25">
      <c r="A87" s="823">
        <v>78</v>
      </c>
      <c r="B87" s="1234" t="s">
        <v>66</v>
      </c>
      <c r="C87" s="1234"/>
      <c r="D87" s="1256" t="str">
        <f>VLOOKUP($A87,'Pre-Assessment Estimator'!$A$10:$Z$226,D$2,FALSE)</f>
        <v>Ene 07</v>
      </c>
      <c r="E87" s="1256" t="str">
        <f>VLOOKUP($A87,'Pre-Assessment Estimator'!$A$10:$Z$226,E$2,FALSE)</f>
        <v>Ene 07 Energy Efficient Laboratory Systems</v>
      </c>
      <c r="F87" s="574">
        <f>VLOOKUP($A87,'Pre-Assessment Estimator'!$A$10:$Z$226,F$2,FALSE)</f>
        <v>5</v>
      </c>
      <c r="G87" s="580" t="str">
        <f>IF(VLOOKUP($A87,'Pre-Assessment Estimator'!$A$10:$Z$226,G$2,FALSE)=0,"",VLOOKUP($A87,'Pre-Assessment Estimator'!$A$10:$Z$226,G$2,FALSE))</f>
        <v/>
      </c>
      <c r="H87" s="1220" t="str">
        <f>VLOOKUP($A87,'Pre-Assessment Estimator'!$A$10:$Z$226,H$2,FALSE)</f>
        <v>0 c. 0 %</v>
      </c>
      <c r="I87" s="576" t="str">
        <f>VLOOKUP($A87,'Pre-Assessment Estimator'!$A$10:$Z$226,I$2,FALSE)</f>
        <v>N/A</v>
      </c>
      <c r="J87" s="577" t="str">
        <f>IF(VLOOKUP($A87,'Pre-Assessment Estimator'!$A$10:$Z$226,J$2,FALSE)=0,"",VLOOKUP($A87,'Pre-Assessment Estimator'!$A$10:$Z$226,J$2,FALSE))</f>
        <v/>
      </c>
      <c r="K87" s="577" t="str">
        <f>IF(VLOOKUP($A87,'Pre-Assessment Estimator'!$A$10:$Z$226,K$2,FALSE)=0,"",VLOOKUP($A87,'Pre-Assessment Estimator'!$A$10:$Z$226,K$2,FALSE))</f>
        <v/>
      </c>
      <c r="L87" s="578" t="str">
        <f>IF(VLOOKUP($A87,'Pre-Assessment Estimator'!$A$10:$Z$226,L$2,FALSE)=0,"",VLOOKUP($A87,'Pre-Assessment Estimator'!$A$10:$Z$226,L$2,FALSE))</f>
        <v/>
      </c>
      <c r="M87" s="579"/>
      <c r="N87" s="580" t="str">
        <f>IF(VLOOKUP($A87,'Pre-Assessment Estimator'!$A$10:$Z$226,N$2,FALSE)=0,"",VLOOKUP($A87,'Pre-Assessment Estimator'!$A$10:$Z$226,N$2,FALSE))</f>
        <v/>
      </c>
      <c r="O87" s="575" t="str">
        <f>VLOOKUP($A87,'Pre-Assessment Estimator'!$A$10:$Z$226,O$2,FALSE)</f>
        <v>0 c. 0 %</v>
      </c>
      <c r="P87" s="574" t="str">
        <f>VLOOKUP($A87,'Pre-Assessment Estimator'!$A$10:$Z$226,P$2,FALSE)</f>
        <v>N/A</v>
      </c>
      <c r="Q87" s="577" t="str">
        <f>IF(VLOOKUP($A87,'Pre-Assessment Estimator'!$A$10:$Z$226,Q$2,FALSE)=0,"",VLOOKUP($A87,'Pre-Assessment Estimator'!$A$10:$Z$226,Q$2,FALSE))</f>
        <v/>
      </c>
      <c r="R87" s="577" t="str">
        <f>IF(VLOOKUP($A87,'Pre-Assessment Estimator'!$A$10:$Z$226,R$2,FALSE)=0,"",VLOOKUP($A87,'Pre-Assessment Estimator'!$A$10:$Z$226,R$2,FALSE))</f>
        <v/>
      </c>
      <c r="S87" s="578" t="str">
        <f>IF(VLOOKUP($A87,'Pre-Assessment Estimator'!$A$10:$Z$226,S$2,FALSE)=0,"",VLOOKUP($A87,'Pre-Assessment Estimator'!$A$10:$Z$226,S$2,FALSE))</f>
        <v/>
      </c>
      <c r="T87" s="581"/>
      <c r="U87" s="580" t="str">
        <f>IF(VLOOKUP($A87,'Pre-Assessment Estimator'!$A$10:$Z$226,U$2,FALSE)=0,"",VLOOKUP($A87,'Pre-Assessment Estimator'!$A$10:$Z$226,U$2,FALSE))</f>
        <v/>
      </c>
      <c r="V87" s="575" t="str">
        <f>VLOOKUP($A87,'Pre-Assessment Estimator'!$A$10:$Z$226,V$2,FALSE)</f>
        <v>0 c. 0 %</v>
      </c>
      <c r="W87" s="574" t="str">
        <f>VLOOKUP($A87,'Pre-Assessment Estimator'!$A$10:$Z$226,W$2,FALSE)</f>
        <v>N/A</v>
      </c>
      <c r="X87" s="577" t="str">
        <f>IF(VLOOKUP($A87,'Pre-Assessment Estimator'!$A$10:$Z$226,X$2,FALSE)=0,"",VLOOKUP($A87,'Pre-Assessment Estimator'!$A$10:$Z$226,X$2,FALSE))</f>
        <v/>
      </c>
      <c r="Y87" s="577" t="str">
        <f>IF(VLOOKUP($A87,'Pre-Assessment Estimator'!$A$10:$Z$226,Y$2,FALSE)=0,"",VLOOKUP($A87,'Pre-Assessment Estimator'!$A$10:$Z$226,Y$2,FALSE))</f>
        <v/>
      </c>
      <c r="Z87" s="370" t="str">
        <f>IF(VLOOKUP($A87,'Pre-Assessment Estimator'!$A$10:$Z$226,Z$2,FALSE)=0,"",VLOOKUP($A87,'Pre-Assessment Estimator'!$A$10:$Z$226,Z$2,FALSE))</f>
        <v/>
      </c>
      <c r="AA87" s="696">
        <v>77</v>
      </c>
      <c r="AB87" s="577"/>
      <c r="AF87" s="386">
        <f t="shared" si="2"/>
        <v>1</v>
      </c>
    </row>
    <row r="88" spans="1:32" x14ac:dyDescent="0.25">
      <c r="A88" s="823">
        <v>79</v>
      </c>
      <c r="B88" s="1234" t="s">
        <v>66</v>
      </c>
      <c r="C88" s="1234"/>
      <c r="D88" s="1257" t="str">
        <f>VLOOKUP($A88,'Pre-Assessment Estimator'!$A$10:$Z$226,D$2,FALSE)</f>
        <v>Ene 07</v>
      </c>
      <c r="E88" s="1258" t="str">
        <f>VLOOKUP($A88,'Pre-Assessment Estimator'!$A$10:$Z$226,E$2,FALSE)</f>
        <v xml:space="preserve">Design specification </v>
      </c>
      <c r="F88" s="574">
        <f>VLOOKUP($A88,'Pre-Assessment Estimator'!$A$10:$Z$226,F$2,FALSE)</f>
        <v>1</v>
      </c>
      <c r="G88" s="580" t="str">
        <f>IF(VLOOKUP($A88,'Pre-Assessment Estimator'!$A$10:$Z$226,G$2,FALSE)=0,"",VLOOKUP($A88,'Pre-Assessment Estimator'!$A$10:$Z$226,G$2,FALSE))</f>
        <v/>
      </c>
      <c r="H88" s="1220">
        <f>VLOOKUP($A88,'Pre-Assessment Estimator'!$A$10:$Z$226,H$2,FALSE)</f>
        <v>0</v>
      </c>
      <c r="I88" s="576" t="str">
        <f>VLOOKUP($A88,'Pre-Assessment Estimator'!$A$10:$Z$226,I$2,FALSE)</f>
        <v>Unclassified</v>
      </c>
      <c r="J88" s="577" t="str">
        <f>IF(VLOOKUP($A88,'Pre-Assessment Estimator'!$A$10:$Z$226,J$2,FALSE)=0,"",VLOOKUP($A88,'Pre-Assessment Estimator'!$A$10:$Z$226,J$2,FALSE))</f>
        <v/>
      </c>
      <c r="K88" s="577" t="str">
        <f>IF(VLOOKUP($A88,'Pre-Assessment Estimator'!$A$10:$Z$226,K$2,FALSE)=0,"",VLOOKUP($A88,'Pre-Assessment Estimator'!$A$10:$Z$226,K$2,FALSE))</f>
        <v/>
      </c>
      <c r="L88" s="578" t="str">
        <f>IF(VLOOKUP($A88,'Pre-Assessment Estimator'!$A$10:$Z$226,L$2,FALSE)=0,"",VLOOKUP($A88,'Pre-Assessment Estimator'!$A$10:$Z$226,L$2,FALSE))</f>
        <v/>
      </c>
      <c r="M88" s="579"/>
      <c r="N88" s="580" t="str">
        <f>IF(VLOOKUP($A88,'Pre-Assessment Estimator'!$A$10:$Z$226,N$2,FALSE)=0,"",VLOOKUP($A88,'Pre-Assessment Estimator'!$A$10:$Z$226,N$2,FALSE))</f>
        <v/>
      </c>
      <c r="O88" s="575">
        <f>VLOOKUP($A88,'Pre-Assessment Estimator'!$A$10:$Z$226,O$2,FALSE)</f>
        <v>0</v>
      </c>
      <c r="P88" s="574" t="str">
        <f>VLOOKUP($A88,'Pre-Assessment Estimator'!$A$10:$Z$226,P$2,FALSE)</f>
        <v>Unclassified</v>
      </c>
      <c r="Q88" s="577" t="str">
        <f>IF(VLOOKUP($A88,'Pre-Assessment Estimator'!$A$10:$Z$226,Q$2,FALSE)=0,"",VLOOKUP($A88,'Pre-Assessment Estimator'!$A$10:$Z$226,Q$2,FALSE))</f>
        <v/>
      </c>
      <c r="R88" s="577" t="str">
        <f>IF(VLOOKUP($A88,'Pre-Assessment Estimator'!$A$10:$Z$226,R$2,FALSE)=0,"",VLOOKUP($A88,'Pre-Assessment Estimator'!$A$10:$Z$226,R$2,FALSE))</f>
        <v/>
      </c>
      <c r="S88" s="578" t="str">
        <f>IF(VLOOKUP($A88,'Pre-Assessment Estimator'!$A$10:$Z$226,S$2,FALSE)=0,"",VLOOKUP($A88,'Pre-Assessment Estimator'!$A$10:$Z$226,S$2,FALSE))</f>
        <v/>
      </c>
      <c r="T88" s="581"/>
      <c r="U88" s="580" t="str">
        <f>IF(VLOOKUP($A88,'Pre-Assessment Estimator'!$A$10:$Z$226,U$2,FALSE)=0,"",VLOOKUP($A88,'Pre-Assessment Estimator'!$A$10:$Z$226,U$2,FALSE))</f>
        <v/>
      </c>
      <c r="V88" s="575">
        <f>VLOOKUP($A88,'Pre-Assessment Estimator'!$A$10:$Z$226,V$2,FALSE)</f>
        <v>0</v>
      </c>
      <c r="W88" s="574" t="str">
        <f>VLOOKUP($A88,'Pre-Assessment Estimator'!$A$10:$Z$226,W$2,FALSE)</f>
        <v>Unclassified</v>
      </c>
      <c r="X88" s="577" t="str">
        <f>IF(VLOOKUP($A88,'Pre-Assessment Estimator'!$A$10:$Z$226,X$2,FALSE)=0,"",VLOOKUP($A88,'Pre-Assessment Estimator'!$A$10:$Z$226,X$2,FALSE))</f>
        <v/>
      </c>
      <c r="Y88" s="577" t="str">
        <f>IF(VLOOKUP($A88,'Pre-Assessment Estimator'!$A$10:$Z$226,Y$2,FALSE)=0,"",VLOOKUP($A88,'Pre-Assessment Estimator'!$A$10:$Z$226,Y$2,FALSE))</f>
        <v/>
      </c>
      <c r="Z88" s="370" t="str">
        <f>IF(VLOOKUP($A88,'Pre-Assessment Estimator'!$A$10:$Z$226,Z$2,FALSE)=0,"",VLOOKUP($A88,'Pre-Assessment Estimator'!$A$10:$Z$226,Z$2,FALSE))</f>
        <v/>
      </c>
      <c r="AA88" s="696">
        <v>78</v>
      </c>
      <c r="AB88" s="577"/>
      <c r="AF88" s="386">
        <f t="shared" si="2"/>
        <v>1</v>
      </c>
    </row>
    <row r="89" spans="1:32" x14ac:dyDescent="0.25">
      <c r="A89" s="823">
        <v>80</v>
      </c>
      <c r="B89" s="1234" t="s">
        <v>66</v>
      </c>
      <c r="C89" s="1234"/>
      <c r="D89" s="1257" t="str">
        <f>VLOOKUP($A89,'Pre-Assessment Estimator'!$A$10:$Z$226,D$2,FALSE)</f>
        <v>Ene 07</v>
      </c>
      <c r="E89" s="1258" t="str">
        <f>VLOOKUP($A89,'Pre-Assessment Estimator'!$A$10:$Z$226,E$2,FALSE)</f>
        <v xml:space="preserve">Best practice energy efficient measures </v>
      </c>
      <c r="F89" s="574">
        <f>VLOOKUP($A89,'Pre-Assessment Estimator'!$A$10:$Z$226,F$2,FALSE)</f>
        <v>4</v>
      </c>
      <c r="G89" s="580" t="str">
        <f>IF(VLOOKUP($A89,'Pre-Assessment Estimator'!$A$10:$Z$226,G$2,FALSE)=0,"",VLOOKUP($A89,'Pre-Assessment Estimator'!$A$10:$Z$226,G$2,FALSE))</f>
        <v/>
      </c>
      <c r="H89" s="1220">
        <f>VLOOKUP($A89,'Pre-Assessment Estimator'!$A$10:$Z$226,H$2,FALSE)</f>
        <v>0</v>
      </c>
      <c r="I89" s="576" t="str">
        <f>VLOOKUP($A89,'Pre-Assessment Estimator'!$A$10:$Z$226,I$2,FALSE)</f>
        <v>N/A</v>
      </c>
      <c r="J89" s="577" t="str">
        <f>IF(VLOOKUP($A89,'Pre-Assessment Estimator'!$A$10:$Z$226,J$2,FALSE)=0,"",VLOOKUP($A89,'Pre-Assessment Estimator'!$A$10:$Z$226,J$2,FALSE))</f>
        <v/>
      </c>
      <c r="K89" s="577" t="str">
        <f>IF(VLOOKUP($A89,'Pre-Assessment Estimator'!$A$10:$Z$226,K$2,FALSE)=0,"",VLOOKUP($A89,'Pre-Assessment Estimator'!$A$10:$Z$226,K$2,FALSE))</f>
        <v/>
      </c>
      <c r="L89" s="578" t="str">
        <f>IF(VLOOKUP($A89,'Pre-Assessment Estimator'!$A$10:$Z$226,L$2,FALSE)=0,"",VLOOKUP($A89,'Pre-Assessment Estimator'!$A$10:$Z$226,L$2,FALSE))</f>
        <v/>
      </c>
      <c r="M89" s="579"/>
      <c r="N89" s="580" t="str">
        <f>IF(VLOOKUP($A89,'Pre-Assessment Estimator'!$A$10:$Z$226,N$2,FALSE)=0,"",VLOOKUP($A89,'Pre-Assessment Estimator'!$A$10:$Z$226,N$2,FALSE))</f>
        <v/>
      </c>
      <c r="O89" s="575">
        <f>VLOOKUP($A89,'Pre-Assessment Estimator'!$A$10:$Z$226,O$2,FALSE)</f>
        <v>0</v>
      </c>
      <c r="P89" s="574" t="str">
        <f>VLOOKUP($A89,'Pre-Assessment Estimator'!$A$10:$Z$226,P$2,FALSE)</f>
        <v>N/A</v>
      </c>
      <c r="Q89" s="577" t="str">
        <f>IF(VLOOKUP($A89,'Pre-Assessment Estimator'!$A$10:$Z$226,Q$2,FALSE)=0,"",VLOOKUP($A89,'Pre-Assessment Estimator'!$A$10:$Z$226,Q$2,FALSE))</f>
        <v/>
      </c>
      <c r="R89" s="577" t="str">
        <f>IF(VLOOKUP($A89,'Pre-Assessment Estimator'!$A$10:$Z$226,R$2,FALSE)=0,"",VLOOKUP($A89,'Pre-Assessment Estimator'!$A$10:$Z$226,R$2,FALSE))</f>
        <v/>
      </c>
      <c r="S89" s="578" t="str">
        <f>IF(VLOOKUP($A89,'Pre-Assessment Estimator'!$A$10:$Z$226,S$2,FALSE)=0,"",VLOOKUP($A89,'Pre-Assessment Estimator'!$A$10:$Z$226,S$2,FALSE))</f>
        <v/>
      </c>
      <c r="T89" s="581"/>
      <c r="U89" s="580" t="str">
        <f>IF(VLOOKUP($A89,'Pre-Assessment Estimator'!$A$10:$Z$226,U$2,FALSE)=0,"",VLOOKUP($A89,'Pre-Assessment Estimator'!$A$10:$Z$226,U$2,FALSE))</f>
        <v/>
      </c>
      <c r="V89" s="575">
        <f>VLOOKUP($A89,'Pre-Assessment Estimator'!$A$10:$Z$226,V$2,FALSE)</f>
        <v>0</v>
      </c>
      <c r="W89" s="574" t="str">
        <f>VLOOKUP($A89,'Pre-Assessment Estimator'!$A$10:$Z$226,W$2,FALSE)</f>
        <v>N/A</v>
      </c>
      <c r="X89" s="577" t="str">
        <f>IF(VLOOKUP($A89,'Pre-Assessment Estimator'!$A$10:$Z$226,X$2,FALSE)=0,"",VLOOKUP($A89,'Pre-Assessment Estimator'!$A$10:$Z$226,X$2,FALSE))</f>
        <v/>
      </c>
      <c r="Y89" s="577" t="str">
        <f>IF(VLOOKUP($A89,'Pre-Assessment Estimator'!$A$10:$Z$226,Y$2,FALSE)=0,"",VLOOKUP($A89,'Pre-Assessment Estimator'!$A$10:$Z$226,Y$2,FALSE))</f>
        <v/>
      </c>
      <c r="Z89" s="370" t="str">
        <f>IF(VLOOKUP($A89,'Pre-Assessment Estimator'!$A$10:$Z$226,Z$2,FALSE)=0,"",VLOOKUP($A89,'Pre-Assessment Estimator'!$A$10:$Z$226,Z$2,FALSE))</f>
        <v/>
      </c>
      <c r="AA89" s="696">
        <v>79</v>
      </c>
      <c r="AB89" s="577"/>
      <c r="AF89" s="386">
        <f t="shared" si="2"/>
        <v>1</v>
      </c>
    </row>
    <row r="90" spans="1:32" x14ac:dyDescent="0.25">
      <c r="A90" s="823">
        <v>81</v>
      </c>
      <c r="B90" s="1234" t="s">
        <v>66</v>
      </c>
      <c r="C90" s="1234"/>
      <c r="D90" s="1256" t="str">
        <f>VLOOKUP($A90,'Pre-Assessment Estimator'!$A$10:$Z$226,D$2,FALSE)</f>
        <v>Ene 08</v>
      </c>
      <c r="E90" s="1256" t="str">
        <f>VLOOKUP($A90,'Pre-Assessment Estimator'!$A$10:$Z$226,E$2,FALSE)</f>
        <v>Ene 08 Energy efficient equipment</v>
      </c>
      <c r="F90" s="574">
        <f>VLOOKUP($A90,'Pre-Assessment Estimator'!$A$10:$Z$226,F$2,FALSE)</f>
        <v>2</v>
      </c>
      <c r="G90" s="580" t="str">
        <f>IF(VLOOKUP($A90,'Pre-Assessment Estimator'!$A$10:$Z$226,G$2,FALSE)=0,"",VLOOKUP($A90,'Pre-Assessment Estimator'!$A$10:$Z$226,G$2,FALSE))</f>
        <v/>
      </c>
      <c r="H90" s="1220" t="str">
        <f>VLOOKUP($A90,'Pre-Assessment Estimator'!$A$10:$Z$226,H$2,FALSE)</f>
        <v>0 c. 0 %</v>
      </c>
      <c r="I90" s="576" t="str">
        <f>VLOOKUP($A90,'Pre-Assessment Estimator'!$A$10:$Z$226,I$2,FALSE)</f>
        <v>N/A</v>
      </c>
      <c r="J90" s="577" t="str">
        <f>IF(VLOOKUP($A90,'Pre-Assessment Estimator'!$A$10:$Z$226,J$2,FALSE)=0,"",VLOOKUP($A90,'Pre-Assessment Estimator'!$A$10:$Z$226,J$2,FALSE))</f>
        <v/>
      </c>
      <c r="K90" s="577" t="str">
        <f>IF(VLOOKUP($A90,'Pre-Assessment Estimator'!$A$10:$Z$226,K$2,FALSE)=0,"",VLOOKUP($A90,'Pre-Assessment Estimator'!$A$10:$Z$226,K$2,FALSE))</f>
        <v/>
      </c>
      <c r="L90" s="578" t="str">
        <f>IF(VLOOKUP($A90,'Pre-Assessment Estimator'!$A$10:$Z$226,L$2,FALSE)=0,"",VLOOKUP($A90,'Pre-Assessment Estimator'!$A$10:$Z$226,L$2,FALSE))</f>
        <v/>
      </c>
      <c r="M90" s="579"/>
      <c r="N90" s="580" t="str">
        <f>IF(VLOOKUP($A90,'Pre-Assessment Estimator'!$A$10:$Z$226,N$2,FALSE)=0,"",VLOOKUP($A90,'Pre-Assessment Estimator'!$A$10:$Z$226,N$2,FALSE))</f>
        <v/>
      </c>
      <c r="O90" s="575" t="str">
        <f>VLOOKUP($A90,'Pre-Assessment Estimator'!$A$10:$Z$226,O$2,FALSE)</f>
        <v>0 c. 0 %</v>
      </c>
      <c r="P90" s="574" t="str">
        <f>VLOOKUP($A90,'Pre-Assessment Estimator'!$A$10:$Z$226,P$2,FALSE)</f>
        <v>N/A</v>
      </c>
      <c r="Q90" s="577" t="str">
        <f>IF(VLOOKUP($A90,'Pre-Assessment Estimator'!$A$10:$Z$226,Q$2,FALSE)=0,"",VLOOKUP($A90,'Pre-Assessment Estimator'!$A$10:$Z$226,Q$2,FALSE))</f>
        <v/>
      </c>
      <c r="R90" s="577" t="str">
        <f>IF(VLOOKUP($A90,'Pre-Assessment Estimator'!$A$10:$Z$226,R$2,FALSE)=0,"",VLOOKUP($A90,'Pre-Assessment Estimator'!$A$10:$Z$226,R$2,FALSE))</f>
        <v/>
      </c>
      <c r="S90" s="578" t="str">
        <f>IF(VLOOKUP($A90,'Pre-Assessment Estimator'!$A$10:$Z$226,S$2,FALSE)=0,"",VLOOKUP($A90,'Pre-Assessment Estimator'!$A$10:$Z$226,S$2,FALSE))</f>
        <v/>
      </c>
      <c r="T90" s="581"/>
      <c r="U90" s="580" t="str">
        <f>IF(VLOOKUP($A90,'Pre-Assessment Estimator'!$A$10:$Z$226,U$2,FALSE)=0,"",VLOOKUP($A90,'Pre-Assessment Estimator'!$A$10:$Z$226,U$2,FALSE))</f>
        <v/>
      </c>
      <c r="V90" s="575" t="str">
        <f>VLOOKUP($A90,'Pre-Assessment Estimator'!$A$10:$Z$226,V$2,FALSE)</f>
        <v>0 c. 0 %</v>
      </c>
      <c r="W90" s="574" t="str">
        <f>VLOOKUP($A90,'Pre-Assessment Estimator'!$A$10:$Z$226,W$2,FALSE)</f>
        <v>N/A</v>
      </c>
      <c r="X90" s="577" t="str">
        <f>IF(VLOOKUP($A90,'Pre-Assessment Estimator'!$A$10:$Z$226,X$2,FALSE)=0,"",VLOOKUP($A90,'Pre-Assessment Estimator'!$A$10:$Z$226,X$2,FALSE))</f>
        <v/>
      </c>
      <c r="Y90" s="577" t="str">
        <f>IF(VLOOKUP($A90,'Pre-Assessment Estimator'!$A$10:$Z$226,Y$2,FALSE)=0,"",VLOOKUP($A90,'Pre-Assessment Estimator'!$A$10:$Z$226,Y$2,FALSE))</f>
        <v/>
      </c>
      <c r="Z90" s="370" t="str">
        <f>IF(VLOOKUP($A90,'Pre-Assessment Estimator'!$A$10:$Z$226,Z$2,FALSE)=0,"",VLOOKUP($A90,'Pre-Assessment Estimator'!$A$10:$Z$226,Z$2,FALSE))</f>
        <v/>
      </c>
      <c r="AA90" s="696">
        <v>80</v>
      </c>
      <c r="AB90" s="577"/>
      <c r="AF90" s="386">
        <f t="shared" si="2"/>
        <v>1</v>
      </c>
    </row>
    <row r="91" spans="1:32" ht="30" x14ac:dyDescent="0.25">
      <c r="A91" s="823">
        <v>82</v>
      </c>
      <c r="B91" s="1234" t="s">
        <v>66</v>
      </c>
      <c r="C91" s="1234"/>
      <c r="D91" s="1257" t="str">
        <f>VLOOKUP($A91,'Pre-Assessment Estimator'!$A$10:$Z$226,D$2,FALSE)</f>
        <v>Ene 08</v>
      </c>
      <c r="E91" s="1258" t="str">
        <f>VLOOKUP($A91,'Pre-Assessment Estimator'!$A$10:$Z$226,E$2,FALSE)</f>
        <v xml:space="preserve">Reduction of the building's significant unregulated energy consumption </v>
      </c>
      <c r="F91" s="574">
        <f>VLOOKUP($A91,'Pre-Assessment Estimator'!$A$10:$Z$226,F$2,FALSE)</f>
        <v>2</v>
      </c>
      <c r="G91" s="580" t="str">
        <f>IF(VLOOKUP($A91,'Pre-Assessment Estimator'!$A$10:$Z$226,G$2,FALSE)=0,"",VLOOKUP($A91,'Pre-Assessment Estimator'!$A$10:$Z$226,G$2,FALSE))</f>
        <v/>
      </c>
      <c r="H91" s="1220">
        <f>VLOOKUP($A91,'Pre-Assessment Estimator'!$A$10:$Z$226,H$2,FALSE)</f>
        <v>0</v>
      </c>
      <c r="I91" s="576" t="str">
        <f>VLOOKUP($A91,'Pre-Assessment Estimator'!$A$10:$Z$226,I$2,FALSE)</f>
        <v>N/A</v>
      </c>
      <c r="J91" s="577" t="str">
        <f>IF(VLOOKUP($A91,'Pre-Assessment Estimator'!$A$10:$Z$226,J$2,FALSE)=0,"",VLOOKUP($A91,'Pre-Assessment Estimator'!$A$10:$Z$226,J$2,FALSE))</f>
        <v/>
      </c>
      <c r="K91" s="577" t="str">
        <f>IF(VLOOKUP($A91,'Pre-Assessment Estimator'!$A$10:$Z$226,K$2,FALSE)=0,"",VLOOKUP($A91,'Pre-Assessment Estimator'!$A$10:$Z$226,K$2,FALSE))</f>
        <v/>
      </c>
      <c r="L91" s="578" t="str">
        <f>IF(VLOOKUP($A91,'Pre-Assessment Estimator'!$A$10:$Z$226,L$2,FALSE)=0,"",VLOOKUP($A91,'Pre-Assessment Estimator'!$A$10:$Z$226,L$2,FALSE))</f>
        <v/>
      </c>
      <c r="M91" s="579"/>
      <c r="N91" s="580" t="str">
        <f>IF(VLOOKUP($A91,'Pre-Assessment Estimator'!$A$10:$Z$226,N$2,FALSE)=0,"",VLOOKUP($A91,'Pre-Assessment Estimator'!$A$10:$Z$226,N$2,FALSE))</f>
        <v/>
      </c>
      <c r="O91" s="575">
        <f>VLOOKUP($A91,'Pre-Assessment Estimator'!$A$10:$Z$226,O$2,FALSE)</f>
        <v>0</v>
      </c>
      <c r="P91" s="574" t="str">
        <f>VLOOKUP($A91,'Pre-Assessment Estimator'!$A$10:$Z$226,P$2,FALSE)</f>
        <v>N/A</v>
      </c>
      <c r="Q91" s="577" t="str">
        <f>IF(VLOOKUP($A91,'Pre-Assessment Estimator'!$A$10:$Z$226,Q$2,FALSE)=0,"",VLOOKUP($A91,'Pre-Assessment Estimator'!$A$10:$Z$226,Q$2,FALSE))</f>
        <v/>
      </c>
      <c r="R91" s="577" t="str">
        <f>IF(VLOOKUP($A91,'Pre-Assessment Estimator'!$A$10:$Z$226,R$2,FALSE)=0,"",VLOOKUP($A91,'Pre-Assessment Estimator'!$A$10:$Z$226,R$2,FALSE))</f>
        <v/>
      </c>
      <c r="S91" s="578" t="str">
        <f>IF(VLOOKUP($A91,'Pre-Assessment Estimator'!$A$10:$Z$226,S$2,FALSE)=0,"",VLOOKUP($A91,'Pre-Assessment Estimator'!$A$10:$Z$226,S$2,FALSE))</f>
        <v/>
      </c>
      <c r="T91" s="581"/>
      <c r="U91" s="580" t="str">
        <f>IF(VLOOKUP($A91,'Pre-Assessment Estimator'!$A$10:$Z$226,U$2,FALSE)=0,"",VLOOKUP($A91,'Pre-Assessment Estimator'!$A$10:$Z$226,U$2,FALSE))</f>
        <v/>
      </c>
      <c r="V91" s="575">
        <f>VLOOKUP($A91,'Pre-Assessment Estimator'!$A$10:$Z$226,V$2,FALSE)</f>
        <v>0</v>
      </c>
      <c r="W91" s="574" t="str">
        <f>VLOOKUP($A91,'Pre-Assessment Estimator'!$A$10:$Z$226,W$2,FALSE)</f>
        <v>N/A</v>
      </c>
      <c r="X91" s="577" t="str">
        <f>IF(VLOOKUP($A91,'Pre-Assessment Estimator'!$A$10:$Z$226,X$2,FALSE)=0,"",VLOOKUP($A91,'Pre-Assessment Estimator'!$A$10:$Z$226,X$2,FALSE))</f>
        <v/>
      </c>
      <c r="Y91" s="577" t="str">
        <f>IF(VLOOKUP($A91,'Pre-Assessment Estimator'!$A$10:$Z$226,Y$2,FALSE)=0,"",VLOOKUP($A91,'Pre-Assessment Estimator'!$A$10:$Z$226,Y$2,FALSE))</f>
        <v/>
      </c>
      <c r="Z91" s="370" t="str">
        <f>IF(VLOOKUP($A91,'Pre-Assessment Estimator'!$A$10:$Z$226,Z$2,FALSE)=0,"",VLOOKUP($A91,'Pre-Assessment Estimator'!$A$10:$Z$226,Z$2,FALSE))</f>
        <v/>
      </c>
      <c r="AA91" s="696">
        <v>81</v>
      </c>
      <c r="AB91" s="577"/>
      <c r="AF91" s="386">
        <f t="shared" si="2"/>
        <v>1</v>
      </c>
    </row>
    <row r="92" spans="1:32" ht="30" customHeight="1" thickBot="1" x14ac:dyDescent="0.3">
      <c r="A92" s="823">
        <v>83</v>
      </c>
      <c r="B92" s="1234" t="s">
        <v>66</v>
      </c>
      <c r="C92" s="1234"/>
      <c r="D92" s="1259"/>
      <c r="E92" s="1259" t="str">
        <f>VLOOKUP($A92,'Pre-Assessment Estimator'!$A$10:$Z$226,E$2,FALSE)</f>
        <v>Total performance energy</v>
      </c>
      <c r="F92" s="582">
        <f>VLOOKUP($A92,'Pre-Assessment Estimator'!$A$10:$Z$226,F$2,FALSE)</f>
        <v>27</v>
      </c>
      <c r="G92" s="584" t="str">
        <f>IF(VLOOKUP($A92,'Pre-Assessment Estimator'!$A$10:$Z$226,G$2,FALSE)=0,"",VLOOKUP($A92,'Pre-Assessment Estimator'!$A$10:$Z$226,G$2,FALSE))</f>
        <v/>
      </c>
      <c r="H92" s="583">
        <f>VLOOKUP($A92,'Pre-Assessment Estimator'!$A$10:$Z$226,H$2,FALSE)</f>
        <v>0</v>
      </c>
      <c r="I92" s="582" t="str">
        <f>VLOOKUP($A92,'Pre-Assessment Estimator'!$A$10:$Z$226,I$2,FALSE)</f>
        <v>Credits achieved: 0</v>
      </c>
      <c r="J92" s="1202" t="str">
        <f>IF(VLOOKUP($A92,'Pre-Assessment Estimator'!$A$10:$Z$226,J$2,FALSE)=0,"",VLOOKUP($A92,'Pre-Assessment Estimator'!$A$10:$Z$226,J$2,FALSE))</f>
        <v/>
      </c>
      <c r="K92" s="1202" t="str">
        <f>IF(VLOOKUP($A92,'Pre-Assessment Estimator'!$A$10:$Z$226,K$2,FALSE)=0,"",VLOOKUP($A92,'Pre-Assessment Estimator'!$A$10:$Z$226,K$2,FALSE))</f>
        <v/>
      </c>
      <c r="L92" s="1221" t="str">
        <f>IF(VLOOKUP($A92,'Pre-Assessment Estimator'!$A$10:$Z$226,L$2,FALSE)=0,"",VLOOKUP($A92,'Pre-Assessment Estimator'!$A$10:$Z$226,L$2,FALSE))</f>
        <v/>
      </c>
      <c r="M92" s="1222"/>
      <c r="N92" s="584" t="str">
        <f>IF(VLOOKUP($A92,'Pre-Assessment Estimator'!$A$10:$Z$226,N$2,FALSE)=0,"",VLOOKUP($A92,'Pre-Assessment Estimator'!$A$10:$Z$226,N$2,FALSE))</f>
        <v/>
      </c>
      <c r="O92" s="583">
        <f>VLOOKUP($A92,'Pre-Assessment Estimator'!$A$10:$Z$226,O$2,FALSE)</f>
        <v>0</v>
      </c>
      <c r="P92" s="582" t="str">
        <f>VLOOKUP($A92,'Pre-Assessment Estimator'!$A$10:$Z$226,P$2,FALSE)</f>
        <v>Credits achieved: 0</v>
      </c>
      <c r="Q92" s="1202" t="str">
        <f>IF(VLOOKUP($A92,'Pre-Assessment Estimator'!$A$10:$Z$226,Q$2,FALSE)=0,"",VLOOKUP($A92,'Pre-Assessment Estimator'!$A$10:$Z$226,Q$2,FALSE))</f>
        <v/>
      </c>
      <c r="R92" s="1202" t="str">
        <f>IF(VLOOKUP($A92,'Pre-Assessment Estimator'!$A$10:$Z$226,R$2,FALSE)=0,"",VLOOKUP($A92,'Pre-Assessment Estimator'!$A$10:$Z$226,R$2,FALSE))</f>
        <v/>
      </c>
      <c r="S92" s="1221" t="str">
        <f>IF(VLOOKUP($A92,'Pre-Assessment Estimator'!$A$10:$Z$226,S$2,FALSE)=0,"",VLOOKUP($A92,'Pre-Assessment Estimator'!$A$10:$Z$226,S$2,FALSE))</f>
        <v/>
      </c>
      <c r="T92" s="1223"/>
      <c r="U92" s="584" t="str">
        <f>IF(VLOOKUP($A92,'Pre-Assessment Estimator'!$A$10:$Z$226,U$2,FALSE)=0,"",VLOOKUP($A92,'Pre-Assessment Estimator'!$A$10:$Z$226,U$2,FALSE))</f>
        <v/>
      </c>
      <c r="V92" s="583">
        <f>VLOOKUP($A92,'Pre-Assessment Estimator'!$A$10:$Z$226,V$2,FALSE)</f>
        <v>0</v>
      </c>
      <c r="W92" s="582" t="str">
        <f>VLOOKUP($A92,'Pre-Assessment Estimator'!$A$10:$Z$226,W$2,FALSE)</f>
        <v>Credits achieved: 0</v>
      </c>
      <c r="X92" s="1202" t="str">
        <f>IF(VLOOKUP($A92,'Pre-Assessment Estimator'!$A$10:$Z$226,X$2,FALSE)=0,"",VLOOKUP($A92,'Pre-Assessment Estimator'!$A$10:$Z$226,X$2,FALSE))</f>
        <v/>
      </c>
      <c r="Y92" s="1202" t="str">
        <f>IF(VLOOKUP($A92,'Pre-Assessment Estimator'!$A$10:$Z$226,Y$2,FALSE)=0,"",VLOOKUP($A92,'Pre-Assessment Estimator'!$A$10:$Z$226,Y$2,FALSE))</f>
        <v/>
      </c>
      <c r="Z92" s="1224" t="str">
        <f>IF(VLOOKUP($A92,'Pre-Assessment Estimator'!$A$10:$Z$226,Z$2,FALSE)=0,"",VLOOKUP($A92,'Pre-Assessment Estimator'!$A$10:$Z$226,Z$2,FALSE))</f>
        <v/>
      </c>
      <c r="AA92" s="696">
        <v>82</v>
      </c>
      <c r="AB92" s="577" t="str">
        <f>IF(VLOOKUP($A92,'Pre-Assessment Estimator'!$A$10:$AB$226,AB$2,FALSE)=0,"",VLOOKUP($A92,'Pre-Assessment Estimator'!$A$10:$AB$226,AB$2,FALSE))</f>
        <v/>
      </c>
      <c r="AF92" s="386">
        <f t="shared" si="2"/>
        <v>1</v>
      </c>
    </row>
    <row r="93" spans="1:32" x14ac:dyDescent="0.25">
      <c r="A93" s="823">
        <v>84</v>
      </c>
      <c r="B93" s="1234" t="s">
        <v>66</v>
      </c>
      <c r="C93" s="1234"/>
      <c r="D93" s="585"/>
      <c r="E93" s="585"/>
      <c r="F93" s="586"/>
      <c r="G93" s="586"/>
      <c r="H93" s="586"/>
      <c r="I93" s="586"/>
      <c r="J93" s="585"/>
      <c r="K93" s="586"/>
      <c r="L93" s="585"/>
      <c r="M93" s="579"/>
      <c r="N93" s="586"/>
      <c r="O93" s="586"/>
      <c r="P93" s="586"/>
      <c r="Q93" s="585"/>
      <c r="R93" s="586"/>
      <c r="S93" s="585"/>
      <c r="T93" s="581"/>
      <c r="U93" s="586"/>
      <c r="V93" s="586"/>
      <c r="W93" s="586"/>
      <c r="X93" s="585"/>
      <c r="Y93" s="586"/>
      <c r="Z93" s="343"/>
      <c r="AA93" s="696">
        <v>83</v>
      </c>
      <c r="AB93" s="585"/>
      <c r="AC93" s="389"/>
      <c r="AD93" s="389"/>
      <c r="AE93" s="389"/>
      <c r="AF93" s="386">
        <f t="shared" si="2"/>
        <v>1</v>
      </c>
    </row>
    <row r="94" spans="1:32" ht="18.75" x14ac:dyDescent="0.25">
      <c r="A94" s="823">
        <v>85</v>
      </c>
      <c r="B94" s="1234" t="s">
        <v>67</v>
      </c>
      <c r="C94" s="1234"/>
      <c r="D94" s="587"/>
      <c r="E94" s="587" t="s">
        <v>67</v>
      </c>
      <c r="F94" s="570"/>
      <c r="G94" s="570"/>
      <c r="H94" s="570"/>
      <c r="I94" s="570"/>
      <c r="J94" s="571"/>
      <c r="K94" s="570"/>
      <c r="L94" s="571"/>
      <c r="M94" s="579"/>
      <c r="N94" s="570"/>
      <c r="O94" s="570"/>
      <c r="P94" s="570"/>
      <c r="Q94" s="571"/>
      <c r="R94" s="570"/>
      <c r="S94" s="571"/>
      <c r="T94" s="581"/>
      <c r="U94" s="570"/>
      <c r="V94" s="570"/>
      <c r="W94" s="570"/>
      <c r="X94" s="571"/>
      <c r="Y94" s="570"/>
      <c r="Z94" s="411"/>
      <c r="AA94" s="696">
        <v>84</v>
      </c>
      <c r="AB94" s="697"/>
      <c r="AF94" s="386">
        <f t="shared" si="2"/>
        <v>1</v>
      </c>
    </row>
    <row r="95" spans="1:32" x14ac:dyDescent="0.25">
      <c r="A95" s="823">
        <v>86</v>
      </c>
      <c r="B95" s="1234" t="s">
        <v>67</v>
      </c>
      <c r="C95" s="1234"/>
      <c r="D95" s="1256" t="str">
        <f>VLOOKUP($A95,'Pre-Assessment Estimator'!$A$10:$Z$226,D$2,FALSE)</f>
        <v>Tra 01</v>
      </c>
      <c r="E95" s="1256" t="str">
        <f>VLOOKUP($A95,'Pre-Assessment Estimator'!$A$10:$Z$226,E$2,FALSE)</f>
        <v>Tra 01 Transport assessment and travel plan</v>
      </c>
      <c r="F95" s="574">
        <f>VLOOKUP($A95,'Pre-Assessment Estimator'!$A$10:$Z$226,F$2,FALSE)</f>
        <v>3</v>
      </c>
      <c r="G95" s="580" t="str">
        <f>IF(VLOOKUP($A95,'Pre-Assessment Estimator'!$A$10:$Z$226,G$2,FALSE)=0,"",VLOOKUP($A95,'Pre-Assessment Estimator'!$A$10:$Z$226,G$2,FALSE))</f>
        <v/>
      </c>
      <c r="H95" s="1220" t="str">
        <f>VLOOKUP($A95,'Pre-Assessment Estimator'!$A$10:$Z$226,H$2,FALSE)</f>
        <v>0 c. 0 %</v>
      </c>
      <c r="I95" s="576" t="str">
        <f>VLOOKUP($A95,'Pre-Assessment Estimator'!$A$10:$Z$226,I$2,FALSE)</f>
        <v>N/A</v>
      </c>
      <c r="J95" s="577" t="str">
        <f>IF(VLOOKUP($A95,'Pre-Assessment Estimator'!$A$10:$Z$226,J$2,FALSE)=0,"",VLOOKUP($A95,'Pre-Assessment Estimator'!$A$10:$Z$226,J$2,FALSE))</f>
        <v/>
      </c>
      <c r="K95" s="577" t="str">
        <f>IF(VLOOKUP($A95,'Pre-Assessment Estimator'!$A$10:$Z$226,K$2,FALSE)=0,"",VLOOKUP($A95,'Pre-Assessment Estimator'!$A$10:$Z$226,K$2,FALSE))</f>
        <v/>
      </c>
      <c r="L95" s="578" t="str">
        <f>IF(VLOOKUP($A95,'Pre-Assessment Estimator'!$A$10:$Z$226,L$2,FALSE)=0,"",VLOOKUP($A95,'Pre-Assessment Estimator'!$A$10:$Z$226,L$2,FALSE))</f>
        <v/>
      </c>
      <c r="M95" s="579"/>
      <c r="N95" s="580" t="str">
        <f>IF(VLOOKUP($A95,'Pre-Assessment Estimator'!$A$10:$Z$226,N$2,FALSE)=0,"",VLOOKUP($A95,'Pre-Assessment Estimator'!$A$10:$Z$226,N$2,FALSE))</f>
        <v/>
      </c>
      <c r="O95" s="575" t="str">
        <f>VLOOKUP($A95,'Pre-Assessment Estimator'!$A$10:$Z$226,O$2,FALSE)</f>
        <v>0 c. 0 %</v>
      </c>
      <c r="P95" s="574" t="str">
        <f>VLOOKUP($A95,'Pre-Assessment Estimator'!$A$10:$Z$226,P$2,FALSE)</f>
        <v>N/A</v>
      </c>
      <c r="Q95" s="577" t="str">
        <f>IF(VLOOKUP($A95,'Pre-Assessment Estimator'!$A$10:$Z$226,Q$2,FALSE)=0,"",VLOOKUP($A95,'Pre-Assessment Estimator'!$A$10:$Z$226,Q$2,FALSE))</f>
        <v/>
      </c>
      <c r="R95" s="577" t="str">
        <f>IF(VLOOKUP($A95,'Pre-Assessment Estimator'!$A$10:$Z$226,R$2,FALSE)=0,"",VLOOKUP($A95,'Pre-Assessment Estimator'!$A$10:$Z$226,R$2,FALSE))</f>
        <v/>
      </c>
      <c r="S95" s="578" t="str">
        <f>IF(VLOOKUP($A95,'Pre-Assessment Estimator'!$A$10:$Z$226,S$2,FALSE)=0,"",VLOOKUP($A95,'Pre-Assessment Estimator'!$A$10:$Z$226,S$2,FALSE))</f>
        <v/>
      </c>
      <c r="T95" s="581"/>
      <c r="U95" s="580" t="str">
        <f>IF(VLOOKUP($A95,'Pre-Assessment Estimator'!$A$10:$Z$226,U$2,FALSE)=0,"",VLOOKUP($A95,'Pre-Assessment Estimator'!$A$10:$Z$226,U$2,FALSE))</f>
        <v/>
      </c>
      <c r="V95" s="575" t="str">
        <f>VLOOKUP($A95,'Pre-Assessment Estimator'!$A$10:$Z$226,V$2,FALSE)</f>
        <v>0 c. 0 %</v>
      </c>
      <c r="W95" s="574" t="str">
        <f>VLOOKUP($A95,'Pre-Assessment Estimator'!$A$10:$Z$226,W$2,FALSE)</f>
        <v>N/A</v>
      </c>
      <c r="X95" s="577" t="str">
        <f>IF(VLOOKUP($A95,'Pre-Assessment Estimator'!$A$10:$Z$226,X$2,FALSE)=0,"",VLOOKUP($A95,'Pre-Assessment Estimator'!$A$10:$Z$226,X$2,FALSE))</f>
        <v/>
      </c>
      <c r="Y95" s="577" t="str">
        <f>IF(VLOOKUP($A95,'Pre-Assessment Estimator'!$A$10:$Z$226,Y$2,FALSE)=0,"",VLOOKUP($A95,'Pre-Assessment Estimator'!$A$10:$Z$226,Y$2,FALSE))</f>
        <v/>
      </c>
      <c r="Z95" s="370" t="str">
        <f>IF(VLOOKUP($A95,'Pre-Assessment Estimator'!$A$10:$Z$226,Z$2,FALSE)=0,"",VLOOKUP($A95,'Pre-Assessment Estimator'!$A$10:$Z$226,Z$2,FALSE))</f>
        <v/>
      </c>
      <c r="AA95" s="696">
        <v>85</v>
      </c>
      <c r="AB95" s="577" t="str">
        <f>IF(VLOOKUP($A95,'Pre-Assessment Estimator'!$A$10:$AB$226,AB$2,FALSE)=0,"",VLOOKUP($A95,'Pre-Assessment Estimator'!$A$10:$AB$226,AB$2,FALSE))</f>
        <v/>
      </c>
      <c r="AF95" s="386">
        <f t="shared" si="2"/>
        <v>1</v>
      </c>
    </row>
    <row r="96" spans="1:32" x14ac:dyDescent="0.25">
      <c r="A96" s="823">
        <v>87</v>
      </c>
      <c r="B96" s="1234" t="s">
        <v>67</v>
      </c>
      <c r="C96" s="1234"/>
      <c r="D96" s="1257" t="str">
        <f>VLOOKUP($A96,'Pre-Assessment Estimator'!$A$10:$Z$226,D$2,FALSE)</f>
        <v>Tra 01</v>
      </c>
      <c r="E96" s="1258" t="str">
        <f>VLOOKUP($A96,'Pre-Assessment Estimator'!$A$10:$Z$226,E$2,FALSE)</f>
        <v xml:space="preserve">Transport assessment and travel plan </v>
      </c>
      <c r="F96" s="574">
        <f>VLOOKUP($A96,'Pre-Assessment Estimator'!$A$10:$Z$226,F$2,FALSE)</f>
        <v>2</v>
      </c>
      <c r="G96" s="580" t="str">
        <f>IF(VLOOKUP($A96,'Pre-Assessment Estimator'!$A$10:$Z$226,G$2,FALSE)=0,"",VLOOKUP($A96,'Pre-Assessment Estimator'!$A$10:$Z$226,G$2,FALSE))</f>
        <v/>
      </c>
      <c r="H96" s="1220">
        <f>VLOOKUP($A96,'Pre-Assessment Estimator'!$A$10:$Z$226,H$2,FALSE)</f>
        <v>0</v>
      </c>
      <c r="I96" s="576" t="str">
        <f>VLOOKUP($A96,'Pre-Assessment Estimator'!$A$10:$Z$226,I$2,FALSE)</f>
        <v>N/A</v>
      </c>
      <c r="J96" s="577" t="str">
        <f>IF(VLOOKUP($A96,'Pre-Assessment Estimator'!$A$10:$Z$226,J$2,FALSE)=0,"",VLOOKUP($A96,'Pre-Assessment Estimator'!$A$10:$Z$226,J$2,FALSE))</f>
        <v/>
      </c>
      <c r="K96" s="577" t="str">
        <f>IF(VLOOKUP($A96,'Pre-Assessment Estimator'!$A$10:$Z$226,K$2,FALSE)=0,"",VLOOKUP($A96,'Pre-Assessment Estimator'!$A$10:$Z$226,K$2,FALSE))</f>
        <v/>
      </c>
      <c r="L96" s="578" t="str">
        <f>IF(VLOOKUP($A96,'Pre-Assessment Estimator'!$A$10:$Z$226,L$2,FALSE)=0,"",VLOOKUP($A96,'Pre-Assessment Estimator'!$A$10:$Z$226,L$2,FALSE))</f>
        <v/>
      </c>
      <c r="M96" s="579"/>
      <c r="N96" s="580" t="str">
        <f>IF(VLOOKUP($A96,'Pre-Assessment Estimator'!$A$10:$Z$226,N$2,FALSE)=0,"",VLOOKUP($A96,'Pre-Assessment Estimator'!$A$10:$Z$226,N$2,FALSE))</f>
        <v/>
      </c>
      <c r="O96" s="575">
        <f>VLOOKUP($A96,'Pre-Assessment Estimator'!$A$10:$Z$226,O$2,FALSE)</f>
        <v>0</v>
      </c>
      <c r="P96" s="574" t="str">
        <f>VLOOKUP($A96,'Pre-Assessment Estimator'!$A$10:$Z$226,P$2,FALSE)</f>
        <v>N/A</v>
      </c>
      <c r="Q96" s="577" t="str">
        <f>IF(VLOOKUP($A96,'Pre-Assessment Estimator'!$A$10:$Z$226,Q$2,FALSE)=0,"",VLOOKUP($A96,'Pre-Assessment Estimator'!$A$10:$Z$226,Q$2,FALSE))</f>
        <v/>
      </c>
      <c r="R96" s="577" t="str">
        <f>IF(VLOOKUP($A96,'Pre-Assessment Estimator'!$A$10:$Z$226,R$2,FALSE)=0,"",VLOOKUP($A96,'Pre-Assessment Estimator'!$A$10:$Z$226,R$2,FALSE))</f>
        <v/>
      </c>
      <c r="S96" s="578" t="str">
        <f>IF(VLOOKUP($A96,'Pre-Assessment Estimator'!$A$10:$Z$226,S$2,FALSE)=0,"",VLOOKUP($A96,'Pre-Assessment Estimator'!$A$10:$Z$226,S$2,FALSE))</f>
        <v/>
      </c>
      <c r="T96" s="581"/>
      <c r="U96" s="580" t="str">
        <f>IF(VLOOKUP($A96,'Pre-Assessment Estimator'!$A$10:$Z$226,U$2,FALSE)=0,"",VLOOKUP($A96,'Pre-Assessment Estimator'!$A$10:$Z$226,U$2,FALSE))</f>
        <v/>
      </c>
      <c r="V96" s="575">
        <f>VLOOKUP($A96,'Pre-Assessment Estimator'!$A$10:$Z$226,V$2,FALSE)</f>
        <v>0</v>
      </c>
      <c r="W96" s="574" t="str">
        <f>VLOOKUP($A96,'Pre-Assessment Estimator'!$A$10:$Z$226,W$2,FALSE)</f>
        <v>N/A</v>
      </c>
      <c r="X96" s="577" t="str">
        <f>IF(VLOOKUP($A96,'Pre-Assessment Estimator'!$A$10:$Z$226,X$2,FALSE)=0,"",VLOOKUP($A96,'Pre-Assessment Estimator'!$A$10:$Z$226,X$2,FALSE))</f>
        <v/>
      </c>
      <c r="Y96" s="577" t="str">
        <f>IF(VLOOKUP($A96,'Pre-Assessment Estimator'!$A$10:$Z$226,Y$2,FALSE)=0,"",VLOOKUP($A96,'Pre-Assessment Estimator'!$A$10:$Z$226,Y$2,FALSE))</f>
        <v/>
      </c>
      <c r="Z96" s="370" t="str">
        <f>IF(VLOOKUP($A96,'Pre-Assessment Estimator'!$A$10:$Z$226,Z$2,FALSE)=0,"",VLOOKUP($A96,'Pre-Assessment Estimator'!$A$10:$Z$226,Z$2,FALSE))</f>
        <v/>
      </c>
      <c r="AA96" s="696">
        <v>86</v>
      </c>
      <c r="AB96" s="577" t="str">
        <f>IF(VLOOKUP($A96,'Pre-Assessment Estimator'!$A$10:$AB$226,AB$2,FALSE)=0,"",VLOOKUP($A96,'Pre-Assessment Estimator'!$A$10:$AB$226,AB$2,FALSE))</f>
        <v/>
      </c>
      <c r="AF96" s="386">
        <f t="shared" si="2"/>
        <v>1</v>
      </c>
    </row>
    <row r="97" spans="1:32" x14ac:dyDescent="0.25">
      <c r="A97" s="823">
        <v>88</v>
      </c>
      <c r="B97" s="1234" t="s">
        <v>67</v>
      </c>
      <c r="C97" s="1234"/>
      <c r="D97" s="1257" t="str">
        <f>VLOOKUP($A97,'Pre-Assessment Estimator'!$A$10:$Z$226,D$2,FALSE)</f>
        <v>Tra 01</v>
      </c>
      <c r="E97" s="1258" t="str">
        <f>VLOOKUP($A97,'Pre-Assessment Estimator'!$A$10:$Z$226,E$2,FALSE)</f>
        <v xml:space="preserve">Travel plan emissions evaluation </v>
      </c>
      <c r="F97" s="574">
        <f>VLOOKUP($A97,'Pre-Assessment Estimator'!$A$10:$Z$226,F$2,FALSE)</f>
        <v>1</v>
      </c>
      <c r="G97" s="580" t="str">
        <f>IF(VLOOKUP($A97,'Pre-Assessment Estimator'!$A$10:$Z$226,G$2,FALSE)=0,"",VLOOKUP($A97,'Pre-Assessment Estimator'!$A$10:$Z$226,G$2,FALSE))</f>
        <v/>
      </c>
      <c r="H97" s="1220">
        <f>VLOOKUP($A97,'Pre-Assessment Estimator'!$A$10:$Z$226,H$2,FALSE)</f>
        <v>0</v>
      </c>
      <c r="I97" s="576" t="str">
        <f>VLOOKUP($A97,'Pre-Assessment Estimator'!$A$10:$Z$226,I$2,FALSE)</f>
        <v>Very Good</v>
      </c>
      <c r="J97" s="577" t="str">
        <f>IF(VLOOKUP($A97,'Pre-Assessment Estimator'!$A$10:$Z$226,J$2,FALSE)=0,"",VLOOKUP($A97,'Pre-Assessment Estimator'!$A$10:$Z$226,J$2,FALSE))</f>
        <v/>
      </c>
      <c r="K97" s="577" t="str">
        <f>IF(VLOOKUP($A97,'Pre-Assessment Estimator'!$A$10:$Z$226,K$2,FALSE)=0,"",VLOOKUP($A97,'Pre-Assessment Estimator'!$A$10:$Z$226,K$2,FALSE))</f>
        <v/>
      </c>
      <c r="L97" s="578" t="str">
        <f>IF(VLOOKUP($A97,'Pre-Assessment Estimator'!$A$10:$Z$226,L$2,FALSE)=0,"",VLOOKUP($A97,'Pre-Assessment Estimator'!$A$10:$Z$226,L$2,FALSE))</f>
        <v/>
      </c>
      <c r="M97" s="579"/>
      <c r="N97" s="580" t="str">
        <f>IF(VLOOKUP($A97,'Pre-Assessment Estimator'!$A$10:$Z$226,N$2,FALSE)=0,"",VLOOKUP($A97,'Pre-Assessment Estimator'!$A$10:$Z$226,N$2,FALSE))</f>
        <v/>
      </c>
      <c r="O97" s="575">
        <f>VLOOKUP($A97,'Pre-Assessment Estimator'!$A$10:$Z$226,O$2,FALSE)</f>
        <v>0</v>
      </c>
      <c r="P97" s="574" t="str">
        <f>VLOOKUP($A97,'Pre-Assessment Estimator'!$A$10:$Z$226,P$2,FALSE)</f>
        <v>Very Good</v>
      </c>
      <c r="Q97" s="577" t="str">
        <f>IF(VLOOKUP($A97,'Pre-Assessment Estimator'!$A$10:$Z$226,Q$2,FALSE)=0,"",VLOOKUP($A97,'Pre-Assessment Estimator'!$A$10:$Z$226,Q$2,FALSE))</f>
        <v/>
      </c>
      <c r="R97" s="577" t="str">
        <f>IF(VLOOKUP($A97,'Pre-Assessment Estimator'!$A$10:$Z$226,R$2,FALSE)=0,"",VLOOKUP($A97,'Pre-Assessment Estimator'!$A$10:$Z$226,R$2,FALSE))</f>
        <v/>
      </c>
      <c r="S97" s="578" t="str">
        <f>IF(VLOOKUP($A97,'Pre-Assessment Estimator'!$A$10:$Z$226,S$2,FALSE)=0,"",VLOOKUP($A97,'Pre-Assessment Estimator'!$A$10:$Z$226,S$2,FALSE))</f>
        <v/>
      </c>
      <c r="T97" s="581"/>
      <c r="U97" s="580" t="str">
        <f>IF(VLOOKUP($A97,'Pre-Assessment Estimator'!$A$10:$Z$226,U$2,FALSE)=0,"",VLOOKUP($A97,'Pre-Assessment Estimator'!$A$10:$Z$226,U$2,FALSE))</f>
        <v/>
      </c>
      <c r="V97" s="575">
        <f>VLOOKUP($A97,'Pre-Assessment Estimator'!$A$10:$Z$226,V$2,FALSE)</f>
        <v>0</v>
      </c>
      <c r="W97" s="574" t="str">
        <f>VLOOKUP($A97,'Pre-Assessment Estimator'!$A$10:$Z$226,W$2,FALSE)</f>
        <v>Very Good</v>
      </c>
      <c r="X97" s="577" t="str">
        <f>IF(VLOOKUP($A97,'Pre-Assessment Estimator'!$A$10:$Z$226,X$2,FALSE)=0,"",VLOOKUP($A97,'Pre-Assessment Estimator'!$A$10:$Z$226,X$2,FALSE))</f>
        <v/>
      </c>
      <c r="Y97" s="577" t="str">
        <f>IF(VLOOKUP($A97,'Pre-Assessment Estimator'!$A$10:$Z$226,Y$2,FALSE)=0,"",VLOOKUP($A97,'Pre-Assessment Estimator'!$A$10:$Z$226,Y$2,FALSE))</f>
        <v/>
      </c>
      <c r="Z97" s="370" t="str">
        <f>IF(VLOOKUP($A97,'Pre-Assessment Estimator'!$A$10:$Z$226,Z$2,FALSE)=0,"",VLOOKUP($A97,'Pre-Assessment Estimator'!$A$10:$Z$226,Z$2,FALSE))</f>
        <v/>
      </c>
      <c r="AA97" s="696">
        <v>87</v>
      </c>
      <c r="AB97" s="577" t="str">
        <f>IF(VLOOKUP($A97,'Pre-Assessment Estimator'!$A$10:$AB$226,AB$2,FALSE)=0,"",VLOOKUP($A97,'Pre-Assessment Estimator'!$A$10:$AB$226,AB$2,FALSE))</f>
        <v/>
      </c>
      <c r="AF97" s="386">
        <f t="shared" si="2"/>
        <v>1</v>
      </c>
    </row>
    <row r="98" spans="1:32" x14ac:dyDescent="0.25">
      <c r="A98" s="823">
        <v>89</v>
      </c>
      <c r="B98" s="1234" t="s">
        <v>67</v>
      </c>
      <c r="C98" s="1234"/>
      <c r="D98" s="1256" t="str">
        <f>VLOOKUP($A98,'Pre-Assessment Estimator'!$A$10:$Z$226,D$2,FALSE)</f>
        <v>Tra 02</v>
      </c>
      <c r="E98" s="1256" t="str">
        <f>VLOOKUP($A98,'Pre-Assessment Estimator'!$A$10:$Z$226,E$2,FALSE)</f>
        <v>Tra 02 Sustainable transport measures</v>
      </c>
      <c r="F98" s="574">
        <f>VLOOKUP($A98,'Pre-Assessment Estimator'!$A$10:$Z$226,F$2,FALSE)</f>
        <v>10</v>
      </c>
      <c r="G98" s="580" t="str">
        <f>IF(VLOOKUP($A98,'Pre-Assessment Estimator'!$A$10:$Z$226,G$2,FALSE)=0,"",VLOOKUP($A98,'Pre-Assessment Estimator'!$A$10:$Z$226,G$2,FALSE))</f>
        <v/>
      </c>
      <c r="H98" s="1220" t="str">
        <f>VLOOKUP($A98,'Pre-Assessment Estimator'!$A$10:$Z$226,H$2,FALSE)</f>
        <v>0 c. 0 %</v>
      </c>
      <c r="I98" s="576" t="str">
        <f>VLOOKUP($A98,'Pre-Assessment Estimator'!$A$10:$Z$226,I$2,FALSE)</f>
        <v>N/A</v>
      </c>
      <c r="J98" s="577" t="str">
        <f>IF(VLOOKUP($A98,'Pre-Assessment Estimator'!$A$10:$Z$226,J$2,FALSE)=0,"",VLOOKUP($A98,'Pre-Assessment Estimator'!$A$10:$Z$226,J$2,FALSE))</f>
        <v/>
      </c>
      <c r="K98" s="577" t="str">
        <f>IF(VLOOKUP($A98,'Pre-Assessment Estimator'!$A$10:$Z$226,K$2,FALSE)=0,"",VLOOKUP($A98,'Pre-Assessment Estimator'!$A$10:$Z$226,K$2,FALSE))</f>
        <v/>
      </c>
      <c r="L98" s="578" t="str">
        <f>IF(VLOOKUP($A98,'Pre-Assessment Estimator'!$A$10:$Z$226,L$2,FALSE)=0,"",VLOOKUP($A98,'Pre-Assessment Estimator'!$A$10:$Z$226,L$2,FALSE))</f>
        <v/>
      </c>
      <c r="M98" s="579"/>
      <c r="N98" s="580" t="str">
        <f>IF(VLOOKUP($A98,'Pre-Assessment Estimator'!$A$10:$Z$226,N$2,FALSE)=0,"",VLOOKUP($A98,'Pre-Assessment Estimator'!$A$10:$Z$226,N$2,FALSE))</f>
        <v/>
      </c>
      <c r="O98" s="575" t="str">
        <f>VLOOKUP($A98,'Pre-Assessment Estimator'!$A$10:$Z$226,O$2,FALSE)</f>
        <v>0 c. 0 %</v>
      </c>
      <c r="P98" s="574" t="str">
        <f>VLOOKUP($A98,'Pre-Assessment Estimator'!$A$10:$Z$226,P$2,FALSE)</f>
        <v>N/A</v>
      </c>
      <c r="Q98" s="577" t="str">
        <f>IF(VLOOKUP($A98,'Pre-Assessment Estimator'!$A$10:$Z$226,Q$2,FALSE)=0,"",VLOOKUP($A98,'Pre-Assessment Estimator'!$A$10:$Z$226,Q$2,FALSE))</f>
        <v/>
      </c>
      <c r="R98" s="577" t="str">
        <f>IF(VLOOKUP($A98,'Pre-Assessment Estimator'!$A$10:$Z$226,R$2,FALSE)=0,"",VLOOKUP($A98,'Pre-Assessment Estimator'!$A$10:$Z$226,R$2,FALSE))</f>
        <v/>
      </c>
      <c r="S98" s="578" t="str">
        <f>IF(VLOOKUP($A98,'Pre-Assessment Estimator'!$A$10:$Z$226,S$2,FALSE)=0,"",VLOOKUP($A98,'Pre-Assessment Estimator'!$A$10:$Z$226,S$2,FALSE))</f>
        <v/>
      </c>
      <c r="T98" s="581"/>
      <c r="U98" s="580" t="str">
        <f>IF(VLOOKUP($A98,'Pre-Assessment Estimator'!$A$10:$Z$226,U$2,FALSE)=0,"",VLOOKUP($A98,'Pre-Assessment Estimator'!$A$10:$Z$226,U$2,FALSE))</f>
        <v/>
      </c>
      <c r="V98" s="575" t="str">
        <f>VLOOKUP($A98,'Pre-Assessment Estimator'!$A$10:$Z$226,V$2,FALSE)</f>
        <v>0 c. 0 %</v>
      </c>
      <c r="W98" s="574" t="str">
        <f>VLOOKUP($A98,'Pre-Assessment Estimator'!$A$10:$Z$226,W$2,FALSE)</f>
        <v>N/A</v>
      </c>
      <c r="X98" s="577" t="str">
        <f>IF(VLOOKUP($A98,'Pre-Assessment Estimator'!$A$10:$Z$226,X$2,FALSE)=0,"",VLOOKUP($A98,'Pre-Assessment Estimator'!$A$10:$Z$226,X$2,FALSE))</f>
        <v/>
      </c>
      <c r="Y98" s="577" t="str">
        <f>IF(VLOOKUP($A98,'Pre-Assessment Estimator'!$A$10:$Z$226,Y$2,FALSE)=0,"",VLOOKUP($A98,'Pre-Assessment Estimator'!$A$10:$Z$226,Y$2,FALSE))</f>
        <v/>
      </c>
      <c r="Z98" s="370" t="str">
        <f>IF(VLOOKUP($A98,'Pre-Assessment Estimator'!$A$10:$Z$226,Z$2,FALSE)=0,"",VLOOKUP($A98,'Pre-Assessment Estimator'!$A$10:$Z$226,Z$2,FALSE))</f>
        <v/>
      </c>
      <c r="AA98" s="696">
        <v>88</v>
      </c>
      <c r="AB98" s="577" t="str">
        <f>IF(VLOOKUP($A98,'Pre-Assessment Estimator'!$A$10:$AB$226,AB$2,FALSE)=0,"",VLOOKUP($A98,'Pre-Assessment Estimator'!$A$10:$AB$226,AB$2,FALSE))</f>
        <v/>
      </c>
      <c r="AF98" s="386">
        <f t="shared" si="2"/>
        <v>1</v>
      </c>
    </row>
    <row r="99" spans="1:32" x14ac:dyDescent="0.25">
      <c r="A99" s="823">
        <v>90</v>
      </c>
      <c r="B99" s="1234" t="s">
        <v>67</v>
      </c>
      <c r="C99" s="1234"/>
      <c r="D99" s="1257" t="str">
        <f>VLOOKUP($A99,'Pre-Assessment Estimator'!$A$10:$Z$226,D$2,FALSE)</f>
        <v>Tra 02</v>
      </c>
      <c r="E99" s="1258" t="str">
        <f>VLOOKUP($A99,'Pre-Assessment Estimator'!$A$10:$Z$226,E$2,FALSE)</f>
        <v>Pre-requisite: transport assessment and travel plan</v>
      </c>
      <c r="F99" s="574" t="str">
        <f>VLOOKUP($A99,'Pre-Assessment Estimator'!$A$10:$Z$226,F$2,FALSE)</f>
        <v>Yes/No</v>
      </c>
      <c r="G99" s="580" t="str">
        <f>IF(VLOOKUP($A99,'Pre-Assessment Estimator'!$A$10:$Z$226,G$2,FALSE)=0,"",VLOOKUP($A99,'Pre-Assessment Estimator'!$A$10:$Z$226,G$2,FALSE))</f>
        <v/>
      </c>
      <c r="H99" s="1220" t="str">
        <f>VLOOKUP($A99,'Pre-Assessment Estimator'!$A$10:$Z$226,H$2,FALSE)</f>
        <v>-</v>
      </c>
      <c r="I99" s="576" t="str">
        <f>VLOOKUP($A99,'Pre-Assessment Estimator'!$A$10:$Z$226,I$2,FALSE)</f>
        <v>N/A</v>
      </c>
      <c r="J99" s="577" t="str">
        <f>IF(VLOOKUP($A99,'Pre-Assessment Estimator'!$A$10:$Z$226,J$2,FALSE)=0,"",VLOOKUP($A99,'Pre-Assessment Estimator'!$A$10:$Z$226,J$2,FALSE))</f>
        <v/>
      </c>
      <c r="K99" s="577" t="str">
        <f>IF(VLOOKUP($A99,'Pre-Assessment Estimator'!$A$10:$Z$226,K$2,FALSE)=0,"",VLOOKUP($A99,'Pre-Assessment Estimator'!$A$10:$Z$226,K$2,FALSE))</f>
        <v/>
      </c>
      <c r="L99" s="578" t="str">
        <f>IF(VLOOKUP($A99,'Pre-Assessment Estimator'!$A$10:$Z$226,L$2,FALSE)=0,"",VLOOKUP($A99,'Pre-Assessment Estimator'!$A$10:$Z$226,L$2,FALSE))</f>
        <v/>
      </c>
      <c r="M99" s="579"/>
      <c r="N99" s="580" t="str">
        <f>IF(VLOOKUP($A99,'Pre-Assessment Estimator'!$A$10:$Z$226,N$2,FALSE)=0,"",VLOOKUP($A99,'Pre-Assessment Estimator'!$A$10:$Z$226,N$2,FALSE))</f>
        <v/>
      </c>
      <c r="O99" s="575" t="str">
        <f>VLOOKUP($A99,'Pre-Assessment Estimator'!$A$10:$Z$226,O$2,FALSE)</f>
        <v>-</v>
      </c>
      <c r="P99" s="574" t="str">
        <f>VLOOKUP($A99,'Pre-Assessment Estimator'!$A$10:$Z$226,P$2,FALSE)</f>
        <v>N/A</v>
      </c>
      <c r="Q99" s="577" t="str">
        <f>IF(VLOOKUP($A99,'Pre-Assessment Estimator'!$A$10:$Z$226,Q$2,FALSE)=0,"",VLOOKUP($A99,'Pre-Assessment Estimator'!$A$10:$Z$226,Q$2,FALSE))</f>
        <v/>
      </c>
      <c r="R99" s="577" t="str">
        <f>IF(VLOOKUP($A99,'Pre-Assessment Estimator'!$A$10:$Z$226,R$2,FALSE)=0,"",VLOOKUP($A99,'Pre-Assessment Estimator'!$A$10:$Z$226,R$2,FALSE))</f>
        <v/>
      </c>
      <c r="S99" s="578" t="str">
        <f>IF(VLOOKUP($A99,'Pre-Assessment Estimator'!$A$10:$Z$226,S$2,FALSE)=0,"",VLOOKUP($A99,'Pre-Assessment Estimator'!$A$10:$Z$226,S$2,FALSE))</f>
        <v/>
      </c>
      <c r="T99" s="581"/>
      <c r="U99" s="580" t="str">
        <f>IF(VLOOKUP($A99,'Pre-Assessment Estimator'!$A$10:$Z$226,U$2,FALSE)=0,"",VLOOKUP($A99,'Pre-Assessment Estimator'!$A$10:$Z$226,U$2,FALSE))</f>
        <v/>
      </c>
      <c r="V99" s="575" t="str">
        <f>VLOOKUP($A99,'Pre-Assessment Estimator'!$A$10:$Z$226,V$2,FALSE)</f>
        <v>-</v>
      </c>
      <c r="W99" s="574" t="str">
        <f>VLOOKUP($A99,'Pre-Assessment Estimator'!$A$10:$Z$226,W$2,FALSE)</f>
        <v>N/A</v>
      </c>
      <c r="X99" s="577" t="str">
        <f>IF(VLOOKUP($A99,'Pre-Assessment Estimator'!$A$10:$Z$226,X$2,FALSE)=0,"",VLOOKUP($A99,'Pre-Assessment Estimator'!$A$10:$Z$226,X$2,FALSE))</f>
        <v/>
      </c>
      <c r="Y99" s="577" t="str">
        <f>IF(VLOOKUP($A99,'Pre-Assessment Estimator'!$A$10:$Z$226,Y$2,FALSE)=0,"",VLOOKUP($A99,'Pre-Assessment Estimator'!$A$10:$Z$226,Y$2,FALSE))</f>
        <v/>
      </c>
      <c r="Z99" s="370" t="str">
        <f>IF(VLOOKUP($A99,'Pre-Assessment Estimator'!$A$10:$Z$226,Z$2,FALSE)=0,"",VLOOKUP($A99,'Pre-Assessment Estimator'!$A$10:$Z$226,Z$2,FALSE))</f>
        <v/>
      </c>
      <c r="AA99" s="696">
        <v>89</v>
      </c>
      <c r="AB99" s="577" t="str">
        <f>IF(VLOOKUP($A99,'Pre-Assessment Estimator'!$A$10:$AB$226,AB$2,FALSE)=0,"",VLOOKUP($A99,'Pre-Assessment Estimator'!$A$10:$AB$226,AB$2,FALSE))</f>
        <v/>
      </c>
      <c r="AF99" s="386">
        <f t="shared" si="2"/>
        <v>1</v>
      </c>
    </row>
    <row r="100" spans="1:32" x14ac:dyDescent="0.25">
      <c r="A100" s="823">
        <v>91</v>
      </c>
      <c r="B100" s="1234" t="s">
        <v>67</v>
      </c>
      <c r="C100" s="1234"/>
      <c r="D100" s="1257" t="str">
        <f>VLOOKUP($A100,'Pre-Assessment Estimator'!$A$10:$Z$226,D$2,FALSE)</f>
        <v>Tra 02</v>
      </c>
      <c r="E100" s="1258" t="str">
        <f>VLOOKUP($A100,'Pre-Assessment Estimator'!$A$10:$Z$226,E$2,FALSE)</f>
        <v xml:space="preserve">Transport options implementation </v>
      </c>
      <c r="F100" s="574">
        <f>VLOOKUP($A100,'Pre-Assessment Estimator'!$A$10:$Z$226,F$2,FALSE)</f>
        <v>10</v>
      </c>
      <c r="G100" s="580" t="str">
        <f>IF(VLOOKUP($A100,'Pre-Assessment Estimator'!$A$10:$Z$226,G$2,FALSE)=0,"",VLOOKUP($A100,'Pre-Assessment Estimator'!$A$10:$Z$226,G$2,FALSE))</f>
        <v/>
      </c>
      <c r="H100" s="1220">
        <f>VLOOKUP($A100,'Pre-Assessment Estimator'!$A$10:$Z$226,H$2,FALSE)</f>
        <v>0</v>
      </c>
      <c r="I100" s="576" t="str">
        <f>VLOOKUP($A100,'Pre-Assessment Estimator'!$A$10:$Z$226,I$2,FALSE)</f>
        <v>N/A</v>
      </c>
      <c r="J100" s="577" t="str">
        <f>IF(VLOOKUP($A100,'Pre-Assessment Estimator'!$A$10:$Z$226,J$2,FALSE)=0,"",VLOOKUP($A100,'Pre-Assessment Estimator'!$A$10:$Z$226,J$2,FALSE))</f>
        <v/>
      </c>
      <c r="K100" s="577" t="str">
        <f>IF(VLOOKUP($A100,'Pre-Assessment Estimator'!$A$10:$Z$226,K$2,FALSE)=0,"",VLOOKUP($A100,'Pre-Assessment Estimator'!$A$10:$Z$226,K$2,FALSE))</f>
        <v/>
      </c>
      <c r="L100" s="578" t="str">
        <f>IF(VLOOKUP($A100,'Pre-Assessment Estimator'!$A$10:$Z$226,L$2,FALSE)=0,"",VLOOKUP($A100,'Pre-Assessment Estimator'!$A$10:$Z$226,L$2,FALSE))</f>
        <v/>
      </c>
      <c r="M100" s="579"/>
      <c r="N100" s="580" t="str">
        <f>IF(VLOOKUP($A100,'Pre-Assessment Estimator'!$A$10:$Z$226,N$2,FALSE)=0,"",VLOOKUP($A100,'Pre-Assessment Estimator'!$A$10:$Z$226,N$2,FALSE))</f>
        <v/>
      </c>
      <c r="O100" s="575">
        <f>VLOOKUP($A100,'Pre-Assessment Estimator'!$A$10:$Z$226,O$2,FALSE)</f>
        <v>0</v>
      </c>
      <c r="P100" s="574" t="str">
        <f>VLOOKUP($A100,'Pre-Assessment Estimator'!$A$10:$Z$226,P$2,FALSE)</f>
        <v>N/A</v>
      </c>
      <c r="Q100" s="577" t="str">
        <f>IF(VLOOKUP($A100,'Pre-Assessment Estimator'!$A$10:$Z$226,Q$2,FALSE)=0,"",VLOOKUP($A100,'Pre-Assessment Estimator'!$A$10:$Z$226,Q$2,FALSE))</f>
        <v/>
      </c>
      <c r="R100" s="577" t="str">
        <f>IF(VLOOKUP($A100,'Pre-Assessment Estimator'!$A$10:$Z$226,R$2,FALSE)=0,"",VLOOKUP($A100,'Pre-Assessment Estimator'!$A$10:$Z$226,R$2,FALSE))</f>
        <v/>
      </c>
      <c r="S100" s="578" t="str">
        <f>IF(VLOOKUP($A100,'Pre-Assessment Estimator'!$A$10:$Z$226,S$2,FALSE)=0,"",VLOOKUP($A100,'Pre-Assessment Estimator'!$A$10:$Z$226,S$2,FALSE))</f>
        <v/>
      </c>
      <c r="T100" s="581"/>
      <c r="U100" s="580" t="str">
        <f>IF(VLOOKUP($A100,'Pre-Assessment Estimator'!$A$10:$Z$226,U$2,FALSE)=0,"",VLOOKUP($A100,'Pre-Assessment Estimator'!$A$10:$Z$226,U$2,FALSE))</f>
        <v/>
      </c>
      <c r="V100" s="575">
        <f>VLOOKUP($A100,'Pre-Assessment Estimator'!$A$10:$Z$226,V$2,FALSE)</f>
        <v>0</v>
      </c>
      <c r="W100" s="574" t="str">
        <f>VLOOKUP($A100,'Pre-Assessment Estimator'!$A$10:$Z$226,W$2,FALSE)</f>
        <v>N/A</v>
      </c>
      <c r="X100" s="577" t="str">
        <f>IF(VLOOKUP($A100,'Pre-Assessment Estimator'!$A$10:$Z$226,X$2,FALSE)=0,"",VLOOKUP($A100,'Pre-Assessment Estimator'!$A$10:$Z$226,X$2,FALSE))</f>
        <v/>
      </c>
      <c r="Y100" s="577" t="str">
        <f>IF(VLOOKUP($A100,'Pre-Assessment Estimator'!$A$10:$Z$226,Y$2,FALSE)=0,"",VLOOKUP($A100,'Pre-Assessment Estimator'!$A$10:$Z$226,Y$2,FALSE))</f>
        <v/>
      </c>
      <c r="Z100" s="370" t="str">
        <f>IF(VLOOKUP($A100,'Pre-Assessment Estimator'!$A$10:$Z$226,Z$2,FALSE)=0,"",VLOOKUP($A100,'Pre-Assessment Estimator'!$A$10:$Z$226,Z$2,FALSE))</f>
        <v/>
      </c>
      <c r="AA100" s="696">
        <v>90</v>
      </c>
      <c r="AB100" s="577" t="str">
        <f>IF(VLOOKUP($A100,'Pre-Assessment Estimator'!$A$10:$AB$226,AB$2,FALSE)=0,"",VLOOKUP($A100,'Pre-Assessment Estimator'!$A$10:$AB$226,AB$2,FALSE))</f>
        <v/>
      </c>
      <c r="AF100" s="386">
        <f t="shared" si="2"/>
        <v>1</v>
      </c>
    </row>
    <row r="101" spans="1:32" ht="30" customHeight="1" thickBot="1" x14ac:dyDescent="0.3">
      <c r="A101" s="823">
        <v>92</v>
      </c>
      <c r="B101" s="1234" t="s">
        <v>67</v>
      </c>
      <c r="C101" s="1234"/>
      <c r="D101" s="1259"/>
      <c r="E101" s="1259" t="str">
        <f>VLOOKUP($A101,'Pre-Assessment Estimator'!$A$10:$Z$226,E$2,FALSE)</f>
        <v>Total performance transport</v>
      </c>
      <c r="F101" s="582">
        <f>VLOOKUP($A101,'Pre-Assessment Estimator'!$A$10:$Z$226,F$2,FALSE)</f>
        <v>13</v>
      </c>
      <c r="G101" s="584" t="str">
        <f>IF(VLOOKUP($A101,'Pre-Assessment Estimator'!$A$10:$Z$226,G$2,FALSE)=0,"",VLOOKUP($A101,'Pre-Assessment Estimator'!$A$10:$Z$226,G$2,FALSE))</f>
        <v/>
      </c>
      <c r="H101" s="583">
        <f>VLOOKUP($A101,'Pre-Assessment Estimator'!$A$10:$Z$226,H$2,FALSE)</f>
        <v>0</v>
      </c>
      <c r="I101" s="582" t="str">
        <f>VLOOKUP($A101,'Pre-Assessment Estimator'!$A$10:$Z$226,I$2,FALSE)</f>
        <v>Credits achieved: 0</v>
      </c>
      <c r="J101" s="1202" t="str">
        <f>IF(VLOOKUP($A101,'Pre-Assessment Estimator'!$A$10:$Z$226,J$2,FALSE)=0,"",VLOOKUP($A101,'Pre-Assessment Estimator'!$A$10:$Z$226,J$2,FALSE))</f>
        <v/>
      </c>
      <c r="K101" s="1202" t="str">
        <f>IF(VLOOKUP($A101,'Pre-Assessment Estimator'!$A$10:$Z$226,K$2,FALSE)=0,"",VLOOKUP($A101,'Pre-Assessment Estimator'!$A$10:$Z$226,K$2,FALSE))</f>
        <v/>
      </c>
      <c r="L101" s="1221" t="str">
        <f>IF(VLOOKUP($A101,'Pre-Assessment Estimator'!$A$10:$Z$226,L$2,FALSE)=0,"",VLOOKUP($A101,'Pre-Assessment Estimator'!$A$10:$Z$226,L$2,FALSE))</f>
        <v/>
      </c>
      <c r="M101" s="1222"/>
      <c r="N101" s="584" t="str">
        <f>IF(VLOOKUP($A101,'Pre-Assessment Estimator'!$A$10:$Z$226,N$2,FALSE)=0,"",VLOOKUP($A101,'Pre-Assessment Estimator'!$A$10:$Z$226,N$2,FALSE))</f>
        <v/>
      </c>
      <c r="O101" s="583">
        <f>VLOOKUP($A101,'Pre-Assessment Estimator'!$A$10:$Z$226,O$2,FALSE)</f>
        <v>0</v>
      </c>
      <c r="P101" s="582" t="str">
        <f>VLOOKUP($A101,'Pre-Assessment Estimator'!$A$10:$Z$226,P$2,FALSE)</f>
        <v>Credits achieved: 0</v>
      </c>
      <c r="Q101" s="1202" t="str">
        <f>IF(VLOOKUP($A101,'Pre-Assessment Estimator'!$A$10:$Z$226,Q$2,FALSE)=0,"",VLOOKUP($A101,'Pre-Assessment Estimator'!$A$10:$Z$226,Q$2,FALSE))</f>
        <v/>
      </c>
      <c r="R101" s="1202" t="str">
        <f>IF(VLOOKUP($A101,'Pre-Assessment Estimator'!$A$10:$Z$226,R$2,FALSE)=0,"",VLOOKUP($A101,'Pre-Assessment Estimator'!$A$10:$Z$226,R$2,FALSE))</f>
        <v/>
      </c>
      <c r="S101" s="1221" t="str">
        <f>IF(VLOOKUP($A101,'Pre-Assessment Estimator'!$A$10:$Z$226,S$2,FALSE)=0,"",VLOOKUP($A101,'Pre-Assessment Estimator'!$A$10:$Z$226,S$2,FALSE))</f>
        <v/>
      </c>
      <c r="T101" s="1223"/>
      <c r="U101" s="584" t="str">
        <f>IF(VLOOKUP($A101,'Pre-Assessment Estimator'!$A$10:$Z$226,U$2,FALSE)=0,"",VLOOKUP($A101,'Pre-Assessment Estimator'!$A$10:$Z$226,U$2,FALSE))</f>
        <v/>
      </c>
      <c r="V101" s="583">
        <f>VLOOKUP($A101,'Pre-Assessment Estimator'!$A$10:$Z$226,V$2,FALSE)</f>
        <v>0</v>
      </c>
      <c r="W101" s="582" t="str">
        <f>VLOOKUP($A101,'Pre-Assessment Estimator'!$A$10:$Z$226,W$2,FALSE)</f>
        <v>Credits achieved: 0</v>
      </c>
      <c r="X101" s="1202" t="str">
        <f>IF(VLOOKUP($A101,'Pre-Assessment Estimator'!$A$10:$Z$226,X$2,FALSE)=0,"",VLOOKUP($A101,'Pre-Assessment Estimator'!$A$10:$Z$226,X$2,FALSE))</f>
        <v/>
      </c>
      <c r="Y101" s="1202" t="str">
        <f>IF(VLOOKUP($A101,'Pre-Assessment Estimator'!$A$10:$Z$226,Y$2,FALSE)=0,"",VLOOKUP($A101,'Pre-Assessment Estimator'!$A$10:$Z$226,Y$2,FALSE))</f>
        <v/>
      </c>
      <c r="Z101" s="1224" t="str">
        <f>IF(VLOOKUP($A101,'Pre-Assessment Estimator'!$A$10:$Z$226,Z$2,FALSE)=0,"",VLOOKUP($A101,'Pre-Assessment Estimator'!$A$10:$Z$226,Z$2,FALSE))</f>
        <v/>
      </c>
      <c r="AA101" s="696">
        <v>91</v>
      </c>
      <c r="AB101" s="577" t="str">
        <f>IF(VLOOKUP($A101,'Pre-Assessment Estimator'!$A$10:$AB$226,AB$2,FALSE)=0,"",VLOOKUP($A101,'Pre-Assessment Estimator'!$A$10:$AB$226,AB$2,FALSE))</f>
        <v/>
      </c>
      <c r="AF101" s="386">
        <f t="shared" si="2"/>
        <v>1</v>
      </c>
    </row>
    <row r="102" spans="1:32" x14ac:dyDescent="0.25">
      <c r="A102" s="823">
        <v>93</v>
      </c>
      <c r="B102" s="1234" t="s">
        <v>67</v>
      </c>
      <c r="C102" s="1234"/>
      <c r="D102" s="585"/>
      <c r="E102" s="585"/>
      <c r="F102" s="586"/>
      <c r="G102" s="586"/>
      <c r="H102" s="586"/>
      <c r="I102" s="586"/>
      <c r="J102" s="585"/>
      <c r="K102" s="586"/>
      <c r="L102" s="585"/>
      <c r="M102" s="579"/>
      <c r="N102" s="586"/>
      <c r="O102" s="586"/>
      <c r="P102" s="586"/>
      <c r="Q102" s="585"/>
      <c r="R102" s="586"/>
      <c r="S102" s="585"/>
      <c r="T102" s="581"/>
      <c r="U102" s="586"/>
      <c r="V102" s="586"/>
      <c r="W102" s="586"/>
      <c r="X102" s="585"/>
      <c r="Y102" s="586"/>
      <c r="Z102" s="343"/>
      <c r="AA102" s="696">
        <v>92</v>
      </c>
      <c r="AB102" s="585"/>
      <c r="AC102" s="389"/>
      <c r="AD102" s="389"/>
      <c r="AE102" s="389"/>
      <c r="AF102" s="386">
        <f t="shared" si="2"/>
        <v>1</v>
      </c>
    </row>
    <row r="103" spans="1:32" ht="18.75" x14ac:dyDescent="0.25">
      <c r="A103" s="823">
        <v>94</v>
      </c>
      <c r="B103" s="823" t="s">
        <v>59</v>
      </c>
      <c r="C103" s="823"/>
      <c r="D103" s="587"/>
      <c r="E103" s="587" t="s">
        <v>59</v>
      </c>
      <c r="F103" s="570"/>
      <c r="G103" s="570"/>
      <c r="H103" s="570"/>
      <c r="I103" s="570"/>
      <c r="J103" s="571"/>
      <c r="K103" s="570"/>
      <c r="L103" s="571"/>
      <c r="M103" s="579"/>
      <c r="N103" s="570"/>
      <c r="O103" s="570"/>
      <c r="P103" s="570"/>
      <c r="Q103" s="571"/>
      <c r="R103" s="570"/>
      <c r="S103" s="571"/>
      <c r="T103" s="581"/>
      <c r="U103" s="570"/>
      <c r="V103" s="570"/>
      <c r="W103" s="570"/>
      <c r="X103" s="571"/>
      <c r="Y103" s="570"/>
      <c r="Z103" s="411"/>
      <c r="AA103" s="696">
        <v>93</v>
      </c>
      <c r="AB103" s="697"/>
      <c r="AF103" s="386">
        <f t="shared" si="2"/>
        <v>1</v>
      </c>
    </row>
    <row r="104" spans="1:32" x14ac:dyDescent="0.25">
      <c r="A104" s="823">
        <v>95</v>
      </c>
      <c r="B104" s="1234" t="s">
        <v>59</v>
      </c>
      <c r="C104" s="1234"/>
      <c r="D104" s="1256" t="str">
        <f>VLOOKUP($A104,'Pre-Assessment Estimator'!$A$10:$Z$226,D$2,FALSE)</f>
        <v>Wat 01</v>
      </c>
      <c r="E104" s="1256" t="str">
        <f>VLOOKUP($A104,'Pre-Assessment Estimator'!$A$10:$Z$226,E$2,FALSE)</f>
        <v>Wat 01 Water consumption</v>
      </c>
      <c r="F104" s="574">
        <f>VLOOKUP($A104,'Pre-Assessment Estimator'!$A$10:$Z$226,F$2,FALSE)</f>
        <v>5</v>
      </c>
      <c r="G104" s="580" t="str">
        <f>IF(VLOOKUP($A104,'Pre-Assessment Estimator'!$A$10:$Z$226,G$2,FALSE)=0,"",VLOOKUP($A104,'Pre-Assessment Estimator'!$A$10:$Z$226,G$2,FALSE))</f>
        <v/>
      </c>
      <c r="H104" s="1220" t="str">
        <f>VLOOKUP($A104,'Pre-Assessment Estimator'!$A$10:$Z$226,H$2,FALSE)</f>
        <v>0 c. 0 %</v>
      </c>
      <c r="I104" s="576" t="str">
        <f>VLOOKUP($A104,'Pre-Assessment Estimator'!$A$10:$Z$226,I$2,FALSE)</f>
        <v>N/A</v>
      </c>
      <c r="J104" s="577" t="str">
        <f>IF(VLOOKUP($A104,'Pre-Assessment Estimator'!$A$10:$Z$226,J$2,FALSE)=0,"",VLOOKUP($A104,'Pre-Assessment Estimator'!$A$10:$Z$226,J$2,FALSE))</f>
        <v/>
      </c>
      <c r="K104" s="577" t="str">
        <f>IF(VLOOKUP($A104,'Pre-Assessment Estimator'!$A$10:$Z$226,K$2,FALSE)=0,"",VLOOKUP($A104,'Pre-Assessment Estimator'!$A$10:$Z$226,K$2,FALSE))</f>
        <v/>
      </c>
      <c r="L104" s="578" t="str">
        <f>IF(VLOOKUP($A104,'Pre-Assessment Estimator'!$A$10:$Z$226,L$2,FALSE)=0,"",VLOOKUP($A104,'Pre-Assessment Estimator'!$A$10:$Z$226,L$2,FALSE))</f>
        <v/>
      </c>
      <c r="M104" s="579"/>
      <c r="N104" s="580" t="str">
        <f>IF(VLOOKUP($A104,'Pre-Assessment Estimator'!$A$10:$Z$226,N$2,FALSE)=0,"",VLOOKUP($A104,'Pre-Assessment Estimator'!$A$10:$Z$226,N$2,FALSE))</f>
        <v/>
      </c>
      <c r="O104" s="575" t="str">
        <f>VLOOKUP($A104,'Pre-Assessment Estimator'!$A$10:$Z$226,O$2,FALSE)</f>
        <v>0 c. 0 %</v>
      </c>
      <c r="P104" s="574" t="str">
        <f>VLOOKUP($A104,'Pre-Assessment Estimator'!$A$10:$Z$226,P$2,FALSE)</f>
        <v>N/A</v>
      </c>
      <c r="Q104" s="577" t="str">
        <f>IF(VLOOKUP($A104,'Pre-Assessment Estimator'!$A$10:$Z$226,Q$2,FALSE)=0,"",VLOOKUP($A104,'Pre-Assessment Estimator'!$A$10:$Z$226,Q$2,FALSE))</f>
        <v/>
      </c>
      <c r="R104" s="577" t="str">
        <f>IF(VLOOKUP($A104,'Pre-Assessment Estimator'!$A$10:$Z$226,R$2,FALSE)=0,"",VLOOKUP($A104,'Pre-Assessment Estimator'!$A$10:$Z$226,R$2,FALSE))</f>
        <v/>
      </c>
      <c r="S104" s="578" t="str">
        <f>IF(VLOOKUP($A104,'Pre-Assessment Estimator'!$A$10:$Z$226,S$2,FALSE)=0,"",VLOOKUP($A104,'Pre-Assessment Estimator'!$A$10:$Z$226,S$2,FALSE))</f>
        <v/>
      </c>
      <c r="T104" s="581"/>
      <c r="U104" s="580" t="str">
        <f>IF(VLOOKUP($A104,'Pre-Assessment Estimator'!$A$10:$Z$226,U$2,FALSE)=0,"",VLOOKUP($A104,'Pre-Assessment Estimator'!$A$10:$Z$226,U$2,FALSE))</f>
        <v/>
      </c>
      <c r="V104" s="575" t="str">
        <f>VLOOKUP($A104,'Pre-Assessment Estimator'!$A$10:$Z$226,V$2,FALSE)</f>
        <v>0 c. 0 %</v>
      </c>
      <c r="W104" s="574" t="str">
        <f>VLOOKUP($A104,'Pre-Assessment Estimator'!$A$10:$Z$226,W$2,FALSE)</f>
        <v>N/A</v>
      </c>
      <c r="X104" s="577" t="str">
        <f>IF(VLOOKUP($A104,'Pre-Assessment Estimator'!$A$10:$Z$226,X$2,FALSE)=0,"",VLOOKUP($A104,'Pre-Assessment Estimator'!$A$10:$Z$226,X$2,FALSE))</f>
        <v/>
      </c>
      <c r="Y104" s="577" t="str">
        <f>IF(VLOOKUP($A104,'Pre-Assessment Estimator'!$A$10:$Z$226,Y$2,FALSE)=0,"",VLOOKUP($A104,'Pre-Assessment Estimator'!$A$10:$Z$226,Y$2,FALSE))</f>
        <v/>
      </c>
      <c r="Z104" s="370" t="str">
        <f>IF(VLOOKUP($A104,'Pre-Assessment Estimator'!$A$10:$Z$226,Z$2,FALSE)=0,"",VLOOKUP($A104,'Pre-Assessment Estimator'!$A$10:$Z$226,Z$2,FALSE))</f>
        <v/>
      </c>
      <c r="AA104" s="696">
        <v>94</v>
      </c>
      <c r="AB104" s="577" t="str">
        <f>IF(VLOOKUP($A104,'Pre-Assessment Estimator'!$A$10:$AB$226,AB$2,FALSE)=0,"",VLOOKUP($A104,'Pre-Assessment Estimator'!$A$10:$AB$226,AB$2,FALSE))</f>
        <v/>
      </c>
      <c r="AF104" s="386">
        <f t="shared" si="2"/>
        <v>1</v>
      </c>
    </row>
    <row r="105" spans="1:32" x14ac:dyDescent="0.25">
      <c r="A105" s="823">
        <v>96</v>
      </c>
      <c r="B105" s="1234" t="s">
        <v>59</v>
      </c>
      <c r="C105" s="1234"/>
      <c r="D105" s="1257" t="str">
        <f>VLOOKUP($A105,'Pre-Assessment Estimator'!$A$10:$Z$226,D$2,FALSE)</f>
        <v>Wat 01</v>
      </c>
      <c r="E105" s="1258" t="str">
        <f>VLOOKUP($A105,'Pre-Assessment Estimator'!$A$10:$Z$226,E$2,FALSE)</f>
        <v>Water efficient components</v>
      </c>
      <c r="F105" s="574">
        <f>VLOOKUP($A105,'Pre-Assessment Estimator'!$A$10:$Z$226,F$2,FALSE)</f>
        <v>5</v>
      </c>
      <c r="G105" s="580" t="str">
        <f>IF(VLOOKUP($A105,'Pre-Assessment Estimator'!$A$10:$Z$226,G$2,FALSE)=0,"",VLOOKUP($A105,'Pre-Assessment Estimator'!$A$10:$Z$226,G$2,FALSE))</f>
        <v/>
      </c>
      <c r="H105" s="1220">
        <f>VLOOKUP($A105,'Pre-Assessment Estimator'!$A$10:$Z$226,H$2,FALSE)</f>
        <v>0</v>
      </c>
      <c r="I105" s="576" t="str">
        <f>VLOOKUP($A105,'Pre-Assessment Estimator'!$A$10:$Z$226,I$2,FALSE)</f>
        <v>Very Good</v>
      </c>
      <c r="J105" s="577" t="str">
        <f>IF(VLOOKUP($A105,'Pre-Assessment Estimator'!$A$10:$Z$226,J$2,FALSE)=0,"",VLOOKUP($A105,'Pre-Assessment Estimator'!$A$10:$Z$226,J$2,FALSE))</f>
        <v/>
      </c>
      <c r="K105" s="577" t="str">
        <f>IF(VLOOKUP($A105,'Pre-Assessment Estimator'!$A$10:$Z$226,K$2,FALSE)=0,"",VLOOKUP($A105,'Pre-Assessment Estimator'!$A$10:$Z$226,K$2,FALSE))</f>
        <v/>
      </c>
      <c r="L105" s="578" t="str">
        <f>IF(VLOOKUP($A105,'Pre-Assessment Estimator'!$A$10:$Z$226,L$2,FALSE)=0,"",VLOOKUP($A105,'Pre-Assessment Estimator'!$A$10:$Z$226,L$2,FALSE))</f>
        <v/>
      </c>
      <c r="M105" s="579"/>
      <c r="N105" s="580" t="str">
        <f>IF(VLOOKUP($A105,'Pre-Assessment Estimator'!$A$10:$Z$226,N$2,FALSE)=0,"",VLOOKUP($A105,'Pre-Assessment Estimator'!$A$10:$Z$226,N$2,FALSE))</f>
        <v/>
      </c>
      <c r="O105" s="575">
        <f>VLOOKUP($A105,'Pre-Assessment Estimator'!$A$10:$Z$226,O$2,FALSE)</f>
        <v>0</v>
      </c>
      <c r="P105" s="574" t="str">
        <f>VLOOKUP($A105,'Pre-Assessment Estimator'!$A$10:$Z$226,P$2,FALSE)</f>
        <v>Very Good</v>
      </c>
      <c r="Q105" s="577" t="str">
        <f>IF(VLOOKUP($A105,'Pre-Assessment Estimator'!$A$10:$Z$226,Q$2,FALSE)=0,"",VLOOKUP($A105,'Pre-Assessment Estimator'!$A$10:$Z$226,Q$2,FALSE))</f>
        <v/>
      </c>
      <c r="R105" s="577" t="str">
        <f>IF(VLOOKUP($A105,'Pre-Assessment Estimator'!$A$10:$Z$226,R$2,FALSE)=0,"",VLOOKUP($A105,'Pre-Assessment Estimator'!$A$10:$Z$226,R$2,FALSE))</f>
        <v/>
      </c>
      <c r="S105" s="578" t="str">
        <f>IF(VLOOKUP($A105,'Pre-Assessment Estimator'!$A$10:$Z$226,S$2,FALSE)=0,"",VLOOKUP($A105,'Pre-Assessment Estimator'!$A$10:$Z$226,S$2,FALSE))</f>
        <v/>
      </c>
      <c r="T105" s="581"/>
      <c r="U105" s="580" t="str">
        <f>IF(VLOOKUP($A105,'Pre-Assessment Estimator'!$A$10:$Z$226,U$2,FALSE)=0,"",VLOOKUP($A105,'Pre-Assessment Estimator'!$A$10:$Z$226,U$2,FALSE))</f>
        <v/>
      </c>
      <c r="V105" s="575">
        <f>VLOOKUP($A105,'Pre-Assessment Estimator'!$A$10:$Z$226,V$2,FALSE)</f>
        <v>0</v>
      </c>
      <c r="W105" s="574" t="str">
        <f>VLOOKUP($A105,'Pre-Assessment Estimator'!$A$10:$Z$226,W$2,FALSE)</f>
        <v>Very Good</v>
      </c>
      <c r="X105" s="577" t="str">
        <f>IF(VLOOKUP($A105,'Pre-Assessment Estimator'!$A$10:$Z$226,X$2,FALSE)=0,"",VLOOKUP($A105,'Pre-Assessment Estimator'!$A$10:$Z$226,X$2,FALSE))</f>
        <v/>
      </c>
      <c r="Y105" s="577" t="str">
        <f>IF(VLOOKUP($A105,'Pre-Assessment Estimator'!$A$10:$Z$226,Y$2,FALSE)=0,"",VLOOKUP($A105,'Pre-Assessment Estimator'!$A$10:$Z$226,Y$2,FALSE))</f>
        <v/>
      </c>
      <c r="Z105" s="370" t="str">
        <f>IF(VLOOKUP($A105,'Pre-Assessment Estimator'!$A$10:$Z$226,Z$2,FALSE)=0,"",VLOOKUP($A105,'Pre-Assessment Estimator'!$A$10:$Z$226,Z$2,FALSE))</f>
        <v/>
      </c>
      <c r="AA105" s="696">
        <v>95</v>
      </c>
      <c r="AB105" s="577" t="str">
        <f>IF(VLOOKUP($A105,'Pre-Assessment Estimator'!$A$10:$AB$226,AB$2,FALSE)=0,"",VLOOKUP($A105,'Pre-Assessment Estimator'!$A$10:$AB$226,AB$2,FALSE))</f>
        <v/>
      </c>
      <c r="AF105" s="386">
        <f t="shared" si="2"/>
        <v>1</v>
      </c>
    </row>
    <row r="106" spans="1:32" x14ac:dyDescent="0.25">
      <c r="A106" s="823">
        <v>97</v>
      </c>
      <c r="B106" s="1234" t="s">
        <v>59</v>
      </c>
      <c r="C106" s="1234"/>
      <c r="D106" s="1257" t="str">
        <f>VLOOKUP($A106,'Pre-Assessment Estimator'!$A$10:$Z$226,D$2,FALSE)</f>
        <v>Wat 01</v>
      </c>
      <c r="E106" s="1260" t="str">
        <f>VLOOKUP($A106,'Pre-Assessment Estimator'!$A$10:$Z$226,E$2,FALSE)</f>
        <v>EU taxonomy requirements: criterion 2</v>
      </c>
      <c r="F106" s="574" t="str">
        <f>VLOOKUP($A106,'Pre-Assessment Estimator'!$A$10:$Z$226,F$2,FALSE)</f>
        <v>Yes/No</v>
      </c>
      <c r="G106" s="580" t="str">
        <f>IF(VLOOKUP($A106,'Pre-Assessment Estimator'!$A$10:$Z$226,G$2,FALSE)=0,"",VLOOKUP($A106,'Pre-Assessment Estimator'!$A$10:$Z$226,G$2,FALSE))</f>
        <v/>
      </c>
      <c r="H106" s="1220" t="str">
        <f>VLOOKUP($A106,'Pre-Assessment Estimator'!$A$10:$Z$226,H$2,FALSE)</f>
        <v>-</v>
      </c>
      <c r="I106" s="576" t="str">
        <f>VLOOKUP($A106,'Pre-Assessment Estimator'!$A$10:$Z$226,I$2,FALSE)</f>
        <v>N/A</v>
      </c>
      <c r="J106" s="577" t="str">
        <f>IF(VLOOKUP($A106,'Pre-Assessment Estimator'!$A$10:$Z$226,J$2,FALSE)=0,"",VLOOKUP($A106,'Pre-Assessment Estimator'!$A$10:$Z$226,J$2,FALSE))</f>
        <v/>
      </c>
      <c r="K106" s="577" t="str">
        <f>IF(VLOOKUP($A106,'Pre-Assessment Estimator'!$A$10:$Z$226,K$2,FALSE)=0,"",VLOOKUP($A106,'Pre-Assessment Estimator'!$A$10:$Z$226,K$2,FALSE))</f>
        <v/>
      </c>
      <c r="L106" s="578" t="str">
        <f>IF(VLOOKUP($A106,'Pre-Assessment Estimator'!$A$10:$Z$226,L$2,FALSE)=0,"",VLOOKUP($A106,'Pre-Assessment Estimator'!$A$10:$Z$226,L$2,FALSE))</f>
        <v/>
      </c>
      <c r="M106" s="579"/>
      <c r="N106" s="580" t="str">
        <f>IF(VLOOKUP($A106,'Pre-Assessment Estimator'!$A$10:$Z$226,N$2,FALSE)=0,"",VLOOKUP($A106,'Pre-Assessment Estimator'!$A$10:$Z$226,N$2,FALSE))</f>
        <v/>
      </c>
      <c r="O106" s="575" t="str">
        <f>VLOOKUP($A106,'Pre-Assessment Estimator'!$A$10:$Z$226,O$2,FALSE)</f>
        <v>-</v>
      </c>
      <c r="P106" s="574" t="str">
        <f>VLOOKUP($A106,'Pre-Assessment Estimator'!$A$10:$Z$226,P$2,FALSE)</f>
        <v>N/A</v>
      </c>
      <c r="Q106" s="577" t="str">
        <f>IF(VLOOKUP($A106,'Pre-Assessment Estimator'!$A$10:$Z$226,Q$2,FALSE)=0,"",VLOOKUP($A106,'Pre-Assessment Estimator'!$A$10:$Z$226,Q$2,FALSE))</f>
        <v/>
      </c>
      <c r="R106" s="577" t="str">
        <f>IF(VLOOKUP($A106,'Pre-Assessment Estimator'!$A$10:$Z$226,R$2,FALSE)=0,"",VLOOKUP($A106,'Pre-Assessment Estimator'!$A$10:$Z$226,R$2,FALSE))</f>
        <v/>
      </c>
      <c r="S106" s="578" t="str">
        <f>IF(VLOOKUP($A106,'Pre-Assessment Estimator'!$A$10:$Z$226,S$2,FALSE)=0,"",VLOOKUP($A106,'Pre-Assessment Estimator'!$A$10:$Z$226,S$2,FALSE))</f>
        <v/>
      </c>
      <c r="T106" s="581"/>
      <c r="U106" s="580" t="str">
        <f>IF(VLOOKUP($A106,'Pre-Assessment Estimator'!$A$10:$Z$226,U$2,FALSE)=0,"",VLOOKUP($A106,'Pre-Assessment Estimator'!$A$10:$Z$226,U$2,FALSE))</f>
        <v/>
      </c>
      <c r="V106" s="575" t="str">
        <f>VLOOKUP($A106,'Pre-Assessment Estimator'!$A$10:$Z$226,V$2,FALSE)</f>
        <v>-</v>
      </c>
      <c r="W106" s="574" t="str">
        <f>VLOOKUP($A106,'Pre-Assessment Estimator'!$A$10:$Z$226,W$2,FALSE)</f>
        <v>N/A</v>
      </c>
      <c r="X106" s="577" t="str">
        <f>IF(VLOOKUP($A106,'Pre-Assessment Estimator'!$A$10:$Z$226,X$2,FALSE)=0,"",VLOOKUP($A106,'Pre-Assessment Estimator'!$A$10:$Z$226,X$2,FALSE))</f>
        <v/>
      </c>
      <c r="Y106" s="577" t="str">
        <f>IF(VLOOKUP($A106,'Pre-Assessment Estimator'!$A$10:$Z$226,Y$2,FALSE)=0,"",VLOOKUP($A106,'Pre-Assessment Estimator'!$A$10:$Z$226,Y$2,FALSE))</f>
        <v/>
      </c>
      <c r="Z106" s="370" t="str">
        <f>IF(VLOOKUP($A106,'Pre-Assessment Estimator'!$A$10:$Z$226,Z$2,FALSE)=0,"",VLOOKUP($A106,'Pre-Assessment Estimator'!$A$10:$Z$226,Z$2,FALSE))</f>
        <v/>
      </c>
      <c r="AA106" s="696">
        <v>96</v>
      </c>
      <c r="AB106" s="577" t="str">
        <f>IF(VLOOKUP($A106,'Pre-Assessment Estimator'!$A$10:$AB$226,AB$2,FALSE)=0,"",VLOOKUP($A106,'Pre-Assessment Estimator'!$A$10:$AB$226,AB$2,FALSE))</f>
        <v/>
      </c>
      <c r="AF106" s="386">
        <f t="shared" si="2"/>
        <v>1</v>
      </c>
    </row>
    <row r="107" spans="1:32" x14ac:dyDescent="0.25">
      <c r="A107" s="823">
        <v>98</v>
      </c>
      <c r="B107" s="1234" t="s">
        <v>59</v>
      </c>
      <c r="C107" s="1234"/>
      <c r="D107" s="1257" t="str">
        <f>VLOOKUP($A107,'Pre-Assessment Estimator'!$A$10:$Z$226,D$2,FALSE)</f>
        <v>Wat 02</v>
      </c>
      <c r="E107" s="1258" t="str">
        <f>VLOOKUP($A107,'Pre-Assessment Estimator'!$A$10:$Z$226,E$2,FALSE)</f>
        <v>Wat 02 Water monitoring</v>
      </c>
      <c r="F107" s="574">
        <f>VLOOKUP($A107,'Pre-Assessment Estimator'!$A$10:$Z$226,F$2,FALSE)</f>
        <v>1</v>
      </c>
      <c r="G107" s="580" t="str">
        <f>IF(VLOOKUP($A107,'Pre-Assessment Estimator'!$A$10:$Z$226,G$2,FALSE)=0,"",VLOOKUP($A107,'Pre-Assessment Estimator'!$A$10:$Z$226,G$2,FALSE))</f>
        <v/>
      </c>
      <c r="H107" s="1220" t="str">
        <f>VLOOKUP($A107,'Pre-Assessment Estimator'!$A$10:$Z$226,H$2,FALSE)</f>
        <v>0 c. 0 %</v>
      </c>
      <c r="I107" s="576" t="str">
        <f>VLOOKUP($A107,'Pre-Assessment Estimator'!$A$10:$Z$226,I$2,FALSE)</f>
        <v>N/A</v>
      </c>
      <c r="J107" s="577" t="str">
        <f>IF(VLOOKUP($A107,'Pre-Assessment Estimator'!$A$10:$Z$226,J$2,FALSE)=0,"",VLOOKUP($A107,'Pre-Assessment Estimator'!$A$10:$Z$226,J$2,FALSE))</f>
        <v/>
      </c>
      <c r="K107" s="577" t="str">
        <f>IF(VLOOKUP($A107,'Pre-Assessment Estimator'!$A$10:$Z$226,K$2,FALSE)=0,"",VLOOKUP($A107,'Pre-Assessment Estimator'!$A$10:$Z$226,K$2,FALSE))</f>
        <v/>
      </c>
      <c r="L107" s="578" t="str">
        <f>IF(VLOOKUP($A107,'Pre-Assessment Estimator'!$A$10:$Z$226,L$2,FALSE)=0,"",VLOOKUP($A107,'Pre-Assessment Estimator'!$A$10:$Z$226,L$2,FALSE))</f>
        <v/>
      </c>
      <c r="M107" s="579"/>
      <c r="N107" s="580" t="str">
        <f>IF(VLOOKUP($A107,'Pre-Assessment Estimator'!$A$10:$Z$226,N$2,FALSE)=0,"",VLOOKUP($A107,'Pre-Assessment Estimator'!$A$10:$Z$226,N$2,FALSE))</f>
        <v/>
      </c>
      <c r="O107" s="575" t="str">
        <f>VLOOKUP($A107,'Pre-Assessment Estimator'!$A$10:$Z$226,O$2,FALSE)</f>
        <v>0 c. 0 %</v>
      </c>
      <c r="P107" s="574" t="str">
        <f>VLOOKUP($A107,'Pre-Assessment Estimator'!$A$10:$Z$226,P$2,FALSE)</f>
        <v>N/A</v>
      </c>
      <c r="Q107" s="577" t="str">
        <f>IF(VLOOKUP($A107,'Pre-Assessment Estimator'!$A$10:$Z$226,Q$2,FALSE)=0,"",VLOOKUP($A107,'Pre-Assessment Estimator'!$A$10:$Z$226,Q$2,FALSE))</f>
        <v/>
      </c>
      <c r="R107" s="577" t="str">
        <f>IF(VLOOKUP($A107,'Pre-Assessment Estimator'!$A$10:$Z$226,R$2,FALSE)=0,"",VLOOKUP($A107,'Pre-Assessment Estimator'!$A$10:$Z$226,R$2,FALSE))</f>
        <v/>
      </c>
      <c r="S107" s="578" t="str">
        <f>IF(VLOOKUP($A107,'Pre-Assessment Estimator'!$A$10:$Z$226,S$2,FALSE)=0,"",VLOOKUP($A107,'Pre-Assessment Estimator'!$A$10:$Z$226,S$2,FALSE))</f>
        <v/>
      </c>
      <c r="T107" s="581"/>
      <c r="U107" s="580" t="str">
        <f>IF(VLOOKUP($A107,'Pre-Assessment Estimator'!$A$10:$Z$226,U$2,FALSE)=0,"",VLOOKUP($A107,'Pre-Assessment Estimator'!$A$10:$Z$226,U$2,FALSE))</f>
        <v/>
      </c>
      <c r="V107" s="575" t="str">
        <f>VLOOKUP($A107,'Pre-Assessment Estimator'!$A$10:$Z$226,V$2,FALSE)</f>
        <v>0 c. 0 %</v>
      </c>
      <c r="W107" s="574" t="str">
        <f>VLOOKUP($A107,'Pre-Assessment Estimator'!$A$10:$Z$226,W$2,FALSE)</f>
        <v>N/A</v>
      </c>
      <c r="X107" s="577" t="str">
        <f>IF(VLOOKUP($A107,'Pre-Assessment Estimator'!$A$10:$Z$226,X$2,FALSE)=0,"",VLOOKUP($A107,'Pre-Assessment Estimator'!$A$10:$Z$226,X$2,FALSE))</f>
        <v/>
      </c>
      <c r="Y107" s="577" t="str">
        <f>IF(VLOOKUP($A107,'Pre-Assessment Estimator'!$A$10:$Z$226,Y$2,FALSE)=0,"",VLOOKUP($A107,'Pre-Assessment Estimator'!$A$10:$Z$226,Y$2,FALSE))</f>
        <v/>
      </c>
      <c r="Z107" s="370" t="str">
        <f>IF(VLOOKUP($A107,'Pre-Assessment Estimator'!$A$10:$Z$226,Z$2,FALSE)=0,"",VLOOKUP($A107,'Pre-Assessment Estimator'!$A$10:$Z$226,Z$2,FALSE))</f>
        <v/>
      </c>
      <c r="AA107" s="696">
        <v>97</v>
      </c>
      <c r="AB107" s="577"/>
      <c r="AF107" s="386">
        <f t="shared" si="2"/>
        <v>1</v>
      </c>
    </row>
    <row r="108" spans="1:32" x14ac:dyDescent="0.25">
      <c r="A108" s="823">
        <v>99</v>
      </c>
      <c r="B108" s="1234" t="s">
        <v>59</v>
      </c>
      <c r="C108" s="1234"/>
      <c r="D108" s="1257" t="str">
        <f>VLOOKUP($A108,'Pre-Assessment Estimator'!$A$10:$Z$226,D$2,FALSE)</f>
        <v>Wat 02</v>
      </c>
      <c r="E108" s="1258" t="str">
        <f>VLOOKUP($A108,'Pre-Assessment Estimator'!$A$10:$Z$226,E$2,FALSE)</f>
        <v>Water meter</v>
      </c>
      <c r="F108" s="574">
        <f>VLOOKUP($A108,'Pre-Assessment Estimator'!$A$10:$Z$226,F$2,FALSE)</f>
        <v>1</v>
      </c>
      <c r="G108" s="580" t="str">
        <f>IF(VLOOKUP($A108,'Pre-Assessment Estimator'!$A$10:$Z$226,G$2,FALSE)=0,"",VLOOKUP($A108,'Pre-Assessment Estimator'!$A$10:$Z$226,G$2,FALSE))</f>
        <v/>
      </c>
      <c r="H108" s="1220">
        <f>VLOOKUP($A108,'Pre-Assessment Estimator'!$A$10:$Z$226,H$2,FALSE)</f>
        <v>0</v>
      </c>
      <c r="I108" s="576" t="str">
        <f>VLOOKUP($A108,'Pre-Assessment Estimator'!$A$10:$Z$226,I$2,FALSE)</f>
        <v>N/A</v>
      </c>
      <c r="J108" s="577" t="str">
        <f>IF(VLOOKUP($A108,'Pre-Assessment Estimator'!$A$10:$Z$226,J$2,FALSE)=0,"",VLOOKUP($A108,'Pre-Assessment Estimator'!$A$10:$Z$226,J$2,FALSE))</f>
        <v/>
      </c>
      <c r="K108" s="577" t="str">
        <f>IF(VLOOKUP($A108,'Pre-Assessment Estimator'!$A$10:$Z$226,K$2,FALSE)=0,"",VLOOKUP($A108,'Pre-Assessment Estimator'!$A$10:$Z$226,K$2,FALSE))</f>
        <v/>
      </c>
      <c r="L108" s="578" t="str">
        <f>IF(VLOOKUP($A108,'Pre-Assessment Estimator'!$A$10:$Z$226,L$2,FALSE)=0,"",VLOOKUP($A108,'Pre-Assessment Estimator'!$A$10:$Z$226,L$2,FALSE))</f>
        <v/>
      </c>
      <c r="M108" s="579"/>
      <c r="N108" s="580" t="str">
        <f>IF(VLOOKUP($A108,'Pre-Assessment Estimator'!$A$10:$Z$226,N$2,FALSE)=0,"",VLOOKUP($A108,'Pre-Assessment Estimator'!$A$10:$Z$226,N$2,FALSE))</f>
        <v/>
      </c>
      <c r="O108" s="575">
        <f>VLOOKUP($A108,'Pre-Assessment Estimator'!$A$10:$Z$226,O$2,FALSE)</f>
        <v>0</v>
      </c>
      <c r="P108" s="574" t="str">
        <f>VLOOKUP($A108,'Pre-Assessment Estimator'!$A$10:$Z$226,P$2,FALSE)</f>
        <v>N/A</v>
      </c>
      <c r="Q108" s="577" t="str">
        <f>IF(VLOOKUP($A108,'Pre-Assessment Estimator'!$A$10:$Z$226,Q$2,FALSE)=0,"",VLOOKUP($A108,'Pre-Assessment Estimator'!$A$10:$Z$226,Q$2,FALSE))</f>
        <v/>
      </c>
      <c r="R108" s="577" t="str">
        <f>IF(VLOOKUP($A108,'Pre-Assessment Estimator'!$A$10:$Z$226,R$2,FALSE)=0,"",VLOOKUP($A108,'Pre-Assessment Estimator'!$A$10:$Z$226,R$2,FALSE))</f>
        <v/>
      </c>
      <c r="S108" s="578" t="str">
        <f>IF(VLOOKUP($A108,'Pre-Assessment Estimator'!$A$10:$Z$226,S$2,FALSE)=0,"",VLOOKUP($A108,'Pre-Assessment Estimator'!$A$10:$Z$226,S$2,FALSE))</f>
        <v/>
      </c>
      <c r="T108" s="581"/>
      <c r="U108" s="580" t="str">
        <f>IF(VLOOKUP($A108,'Pre-Assessment Estimator'!$A$10:$Z$226,U$2,FALSE)=0,"",VLOOKUP($A108,'Pre-Assessment Estimator'!$A$10:$Z$226,U$2,FALSE))</f>
        <v/>
      </c>
      <c r="V108" s="575">
        <f>VLOOKUP($A108,'Pre-Assessment Estimator'!$A$10:$Z$226,V$2,FALSE)</f>
        <v>0</v>
      </c>
      <c r="W108" s="574" t="str">
        <f>VLOOKUP($A108,'Pre-Assessment Estimator'!$A$10:$Z$226,W$2,FALSE)</f>
        <v>N/A</v>
      </c>
      <c r="X108" s="577" t="str">
        <f>IF(VLOOKUP($A108,'Pre-Assessment Estimator'!$A$10:$Z$226,X$2,FALSE)=0,"",VLOOKUP($A108,'Pre-Assessment Estimator'!$A$10:$Z$226,X$2,FALSE))</f>
        <v/>
      </c>
      <c r="Y108" s="577" t="str">
        <f>IF(VLOOKUP($A108,'Pre-Assessment Estimator'!$A$10:$Z$226,Y$2,FALSE)=0,"",VLOOKUP($A108,'Pre-Assessment Estimator'!$A$10:$Z$226,Y$2,FALSE))</f>
        <v/>
      </c>
      <c r="Z108" s="370" t="str">
        <f>IF(VLOOKUP($A108,'Pre-Assessment Estimator'!$A$10:$Z$226,Z$2,FALSE)=0,"",VLOOKUP($A108,'Pre-Assessment Estimator'!$A$10:$Z$226,Z$2,FALSE))</f>
        <v/>
      </c>
      <c r="AA108" s="696">
        <v>98</v>
      </c>
      <c r="AB108" s="577"/>
      <c r="AF108" s="386">
        <f t="shared" si="2"/>
        <v>1</v>
      </c>
    </row>
    <row r="109" spans="1:32" x14ac:dyDescent="0.25">
      <c r="A109" s="823">
        <v>100</v>
      </c>
      <c r="B109" s="1234" t="s">
        <v>59</v>
      </c>
      <c r="C109" s="1234"/>
      <c r="D109" s="1256" t="str">
        <f>VLOOKUP($A109,'Pre-Assessment Estimator'!$A$10:$Z$226,D$2,FALSE)</f>
        <v>Wat 03</v>
      </c>
      <c r="E109" s="1256" t="str">
        <f>VLOOKUP($A109,'Pre-Assessment Estimator'!$A$10:$Z$226,E$2,FALSE)</f>
        <v>Wat 03 Water leak detection and prevention</v>
      </c>
      <c r="F109" s="574">
        <f>VLOOKUP($A109,'Pre-Assessment Estimator'!$A$10:$Z$226,F$2,FALSE)</f>
        <v>2</v>
      </c>
      <c r="G109" s="580" t="str">
        <f>IF(VLOOKUP($A109,'Pre-Assessment Estimator'!$A$10:$Z$226,G$2,FALSE)=0,"",VLOOKUP($A109,'Pre-Assessment Estimator'!$A$10:$Z$226,G$2,FALSE))</f>
        <v/>
      </c>
      <c r="H109" s="1220" t="str">
        <f>VLOOKUP($A109,'Pre-Assessment Estimator'!$A$10:$Z$226,H$2,FALSE)</f>
        <v>0 c. 0 %</v>
      </c>
      <c r="I109" s="576" t="str">
        <f>VLOOKUP($A109,'Pre-Assessment Estimator'!$A$10:$Z$226,I$2,FALSE)</f>
        <v>N/A</v>
      </c>
      <c r="J109" s="577" t="str">
        <f>IF(VLOOKUP($A109,'Pre-Assessment Estimator'!$A$10:$Z$226,J$2,FALSE)=0,"",VLOOKUP($A109,'Pre-Assessment Estimator'!$A$10:$Z$226,J$2,FALSE))</f>
        <v/>
      </c>
      <c r="K109" s="577" t="str">
        <f>IF(VLOOKUP($A109,'Pre-Assessment Estimator'!$A$10:$Z$226,K$2,FALSE)=0,"",VLOOKUP($A109,'Pre-Assessment Estimator'!$A$10:$Z$226,K$2,FALSE))</f>
        <v/>
      </c>
      <c r="L109" s="578" t="str">
        <f>IF(VLOOKUP($A109,'Pre-Assessment Estimator'!$A$10:$Z$226,L$2,FALSE)=0,"",VLOOKUP($A109,'Pre-Assessment Estimator'!$A$10:$Z$226,L$2,FALSE))</f>
        <v/>
      </c>
      <c r="M109" s="579"/>
      <c r="N109" s="580" t="str">
        <f>IF(VLOOKUP($A109,'Pre-Assessment Estimator'!$A$10:$Z$226,N$2,FALSE)=0,"",VLOOKUP($A109,'Pre-Assessment Estimator'!$A$10:$Z$226,N$2,FALSE))</f>
        <v/>
      </c>
      <c r="O109" s="575" t="str">
        <f>VLOOKUP($A109,'Pre-Assessment Estimator'!$A$10:$Z$226,O$2,FALSE)</f>
        <v>0 c. 0 %</v>
      </c>
      <c r="P109" s="574" t="str">
        <f>VLOOKUP($A109,'Pre-Assessment Estimator'!$A$10:$Z$226,P$2,FALSE)</f>
        <v>N/A</v>
      </c>
      <c r="Q109" s="577" t="str">
        <f>IF(VLOOKUP($A109,'Pre-Assessment Estimator'!$A$10:$Z$226,Q$2,FALSE)=0,"",VLOOKUP($A109,'Pre-Assessment Estimator'!$A$10:$Z$226,Q$2,FALSE))</f>
        <v/>
      </c>
      <c r="R109" s="577" t="str">
        <f>IF(VLOOKUP($A109,'Pre-Assessment Estimator'!$A$10:$Z$226,R$2,FALSE)=0,"",VLOOKUP($A109,'Pre-Assessment Estimator'!$A$10:$Z$226,R$2,FALSE))</f>
        <v/>
      </c>
      <c r="S109" s="578" t="str">
        <f>IF(VLOOKUP($A109,'Pre-Assessment Estimator'!$A$10:$Z$226,S$2,FALSE)=0,"",VLOOKUP($A109,'Pre-Assessment Estimator'!$A$10:$Z$226,S$2,FALSE))</f>
        <v/>
      </c>
      <c r="T109" s="581"/>
      <c r="U109" s="580" t="str">
        <f>IF(VLOOKUP($A109,'Pre-Assessment Estimator'!$A$10:$Z$226,U$2,FALSE)=0,"",VLOOKUP($A109,'Pre-Assessment Estimator'!$A$10:$Z$226,U$2,FALSE))</f>
        <v/>
      </c>
      <c r="V109" s="575" t="str">
        <f>VLOOKUP($A109,'Pre-Assessment Estimator'!$A$10:$Z$226,V$2,FALSE)</f>
        <v>0 c. 0 %</v>
      </c>
      <c r="W109" s="574" t="str">
        <f>VLOOKUP($A109,'Pre-Assessment Estimator'!$A$10:$Z$226,W$2,FALSE)</f>
        <v>N/A</v>
      </c>
      <c r="X109" s="577" t="str">
        <f>IF(VLOOKUP($A109,'Pre-Assessment Estimator'!$A$10:$Z$226,X$2,FALSE)=0,"",VLOOKUP($A109,'Pre-Assessment Estimator'!$A$10:$Z$226,X$2,FALSE))</f>
        <v/>
      </c>
      <c r="Y109" s="577" t="str">
        <f>IF(VLOOKUP($A109,'Pre-Assessment Estimator'!$A$10:$Z$226,Y$2,FALSE)=0,"",VLOOKUP($A109,'Pre-Assessment Estimator'!$A$10:$Z$226,Y$2,FALSE))</f>
        <v/>
      </c>
      <c r="Z109" s="370" t="str">
        <f>IF(VLOOKUP($A109,'Pre-Assessment Estimator'!$A$10:$Z$226,Z$2,FALSE)=0,"",VLOOKUP($A109,'Pre-Assessment Estimator'!$A$10:$Z$226,Z$2,FALSE))</f>
        <v/>
      </c>
      <c r="AA109" s="696">
        <v>99</v>
      </c>
      <c r="AB109" s="577"/>
      <c r="AF109" s="386">
        <f t="shared" si="2"/>
        <v>1</v>
      </c>
    </row>
    <row r="110" spans="1:32" x14ac:dyDescent="0.25">
      <c r="A110" s="823">
        <v>101</v>
      </c>
      <c r="B110" s="1234" t="s">
        <v>59</v>
      </c>
      <c r="C110" s="1234"/>
      <c r="D110" s="1257" t="str">
        <f>VLOOKUP($A110,'Pre-Assessment Estimator'!$A$10:$Z$226,D$2,FALSE)</f>
        <v>Wat 03</v>
      </c>
      <c r="E110" s="1258" t="str">
        <f>VLOOKUP($A110,'Pre-Assessment Estimator'!$A$10:$Z$226,E$2,FALSE)</f>
        <v>Leak detection system</v>
      </c>
      <c r="F110" s="574">
        <f>VLOOKUP($A110,'Pre-Assessment Estimator'!$A$10:$Z$226,F$2,FALSE)</f>
        <v>1</v>
      </c>
      <c r="G110" s="580" t="str">
        <f>IF(VLOOKUP($A110,'Pre-Assessment Estimator'!$A$10:$Z$226,G$2,FALSE)=0,"",VLOOKUP($A110,'Pre-Assessment Estimator'!$A$10:$Z$226,G$2,FALSE))</f>
        <v/>
      </c>
      <c r="H110" s="1220">
        <f>VLOOKUP($A110,'Pre-Assessment Estimator'!$A$10:$Z$226,H$2,FALSE)</f>
        <v>0</v>
      </c>
      <c r="I110" s="576" t="str">
        <f>VLOOKUP($A110,'Pre-Assessment Estimator'!$A$10:$Z$226,I$2,FALSE)</f>
        <v>N/A</v>
      </c>
      <c r="J110" s="577" t="str">
        <f>IF(VLOOKUP($A110,'Pre-Assessment Estimator'!$A$10:$Z$226,J$2,FALSE)=0,"",VLOOKUP($A110,'Pre-Assessment Estimator'!$A$10:$Z$226,J$2,FALSE))</f>
        <v/>
      </c>
      <c r="K110" s="577" t="str">
        <f>IF(VLOOKUP($A110,'Pre-Assessment Estimator'!$A$10:$Z$226,K$2,FALSE)=0,"",VLOOKUP($A110,'Pre-Assessment Estimator'!$A$10:$Z$226,K$2,FALSE))</f>
        <v/>
      </c>
      <c r="L110" s="578" t="str">
        <f>IF(VLOOKUP($A110,'Pre-Assessment Estimator'!$A$10:$Z$226,L$2,FALSE)=0,"",VLOOKUP($A110,'Pre-Assessment Estimator'!$A$10:$Z$226,L$2,FALSE))</f>
        <v/>
      </c>
      <c r="M110" s="579"/>
      <c r="N110" s="580" t="str">
        <f>IF(VLOOKUP($A110,'Pre-Assessment Estimator'!$A$10:$Z$226,N$2,FALSE)=0,"",VLOOKUP($A110,'Pre-Assessment Estimator'!$A$10:$Z$226,N$2,FALSE))</f>
        <v/>
      </c>
      <c r="O110" s="575">
        <f>VLOOKUP($A110,'Pre-Assessment Estimator'!$A$10:$Z$226,O$2,FALSE)</f>
        <v>0</v>
      </c>
      <c r="P110" s="574" t="str">
        <f>VLOOKUP($A110,'Pre-Assessment Estimator'!$A$10:$Z$226,P$2,FALSE)</f>
        <v>N/A</v>
      </c>
      <c r="Q110" s="577" t="str">
        <f>IF(VLOOKUP($A110,'Pre-Assessment Estimator'!$A$10:$Z$226,Q$2,FALSE)=0,"",VLOOKUP($A110,'Pre-Assessment Estimator'!$A$10:$Z$226,Q$2,FALSE))</f>
        <v/>
      </c>
      <c r="R110" s="577" t="str">
        <f>IF(VLOOKUP($A110,'Pre-Assessment Estimator'!$A$10:$Z$226,R$2,FALSE)=0,"",VLOOKUP($A110,'Pre-Assessment Estimator'!$A$10:$Z$226,R$2,FALSE))</f>
        <v/>
      </c>
      <c r="S110" s="578" t="str">
        <f>IF(VLOOKUP($A110,'Pre-Assessment Estimator'!$A$10:$Z$226,S$2,FALSE)=0,"",VLOOKUP($A110,'Pre-Assessment Estimator'!$A$10:$Z$226,S$2,FALSE))</f>
        <v/>
      </c>
      <c r="T110" s="581"/>
      <c r="U110" s="580" t="str">
        <f>IF(VLOOKUP($A110,'Pre-Assessment Estimator'!$A$10:$Z$226,U$2,FALSE)=0,"",VLOOKUP($A110,'Pre-Assessment Estimator'!$A$10:$Z$226,U$2,FALSE))</f>
        <v/>
      </c>
      <c r="V110" s="575">
        <f>VLOOKUP($A110,'Pre-Assessment Estimator'!$A$10:$Z$226,V$2,FALSE)</f>
        <v>0</v>
      </c>
      <c r="W110" s="574" t="str">
        <f>VLOOKUP($A110,'Pre-Assessment Estimator'!$A$10:$Z$226,W$2,FALSE)</f>
        <v>N/A</v>
      </c>
      <c r="X110" s="577" t="str">
        <f>IF(VLOOKUP($A110,'Pre-Assessment Estimator'!$A$10:$Z$226,X$2,FALSE)=0,"",VLOOKUP($A110,'Pre-Assessment Estimator'!$A$10:$Z$226,X$2,FALSE))</f>
        <v/>
      </c>
      <c r="Y110" s="577" t="str">
        <f>IF(VLOOKUP($A110,'Pre-Assessment Estimator'!$A$10:$Z$226,Y$2,FALSE)=0,"",VLOOKUP($A110,'Pre-Assessment Estimator'!$A$10:$Z$226,Y$2,FALSE))</f>
        <v/>
      </c>
      <c r="Z110" s="370" t="str">
        <f>IF(VLOOKUP($A110,'Pre-Assessment Estimator'!$A$10:$Z$226,Z$2,FALSE)=0,"",VLOOKUP($A110,'Pre-Assessment Estimator'!$A$10:$Z$226,Z$2,FALSE))</f>
        <v/>
      </c>
      <c r="AA110" s="696">
        <v>100</v>
      </c>
      <c r="AB110" s="577"/>
      <c r="AF110" s="386">
        <f t="shared" si="2"/>
        <v>1</v>
      </c>
    </row>
    <row r="111" spans="1:32" x14ac:dyDescent="0.25">
      <c r="A111" s="823">
        <v>102</v>
      </c>
      <c r="B111" s="1234" t="s">
        <v>59</v>
      </c>
      <c r="C111" s="1234"/>
      <c r="D111" s="1257" t="str">
        <f>VLOOKUP($A111,'Pre-Assessment Estimator'!$A$10:$Z$226,D$2,FALSE)</f>
        <v>Wat 03</v>
      </c>
      <c r="E111" s="1258" t="str">
        <f>VLOOKUP($A111,'Pre-Assessment Estimator'!$A$10:$Z$226,E$2,FALSE)</f>
        <v>Flow control devices</v>
      </c>
      <c r="F111" s="574">
        <f>VLOOKUP($A111,'Pre-Assessment Estimator'!$A$10:$Z$226,F$2,FALSE)</f>
        <v>1</v>
      </c>
      <c r="G111" s="580" t="str">
        <f>IF(VLOOKUP($A111,'Pre-Assessment Estimator'!$A$10:$Z$226,G$2,FALSE)=0,"",VLOOKUP($A111,'Pre-Assessment Estimator'!$A$10:$Z$226,G$2,FALSE))</f>
        <v/>
      </c>
      <c r="H111" s="1220">
        <f>VLOOKUP($A111,'Pre-Assessment Estimator'!$A$10:$Z$226,H$2,FALSE)</f>
        <v>0</v>
      </c>
      <c r="I111" s="576" t="str">
        <f>VLOOKUP($A111,'Pre-Assessment Estimator'!$A$10:$Z$226,I$2,FALSE)</f>
        <v>N/A</v>
      </c>
      <c r="J111" s="577" t="str">
        <f>IF(VLOOKUP($A111,'Pre-Assessment Estimator'!$A$10:$Z$226,J$2,FALSE)=0,"",VLOOKUP($A111,'Pre-Assessment Estimator'!$A$10:$Z$226,J$2,FALSE))</f>
        <v/>
      </c>
      <c r="K111" s="577" t="str">
        <f>IF(VLOOKUP($A111,'Pre-Assessment Estimator'!$A$10:$Z$226,K$2,FALSE)=0,"",VLOOKUP($A111,'Pre-Assessment Estimator'!$A$10:$Z$226,K$2,FALSE))</f>
        <v/>
      </c>
      <c r="L111" s="578" t="str">
        <f>IF(VLOOKUP($A111,'Pre-Assessment Estimator'!$A$10:$Z$226,L$2,FALSE)=0,"",VLOOKUP($A111,'Pre-Assessment Estimator'!$A$10:$Z$226,L$2,FALSE))</f>
        <v/>
      </c>
      <c r="M111" s="579"/>
      <c r="N111" s="580" t="str">
        <f>IF(VLOOKUP($A111,'Pre-Assessment Estimator'!$A$10:$Z$226,N$2,FALSE)=0,"",VLOOKUP($A111,'Pre-Assessment Estimator'!$A$10:$Z$226,N$2,FALSE))</f>
        <v/>
      </c>
      <c r="O111" s="575">
        <f>VLOOKUP($A111,'Pre-Assessment Estimator'!$A$10:$Z$226,O$2,FALSE)</f>
        <v>0</v>
      </c>
      <c r="P111" s="574" t="str">
        <f>VLOOKUP($A111,'Pre-Assessment Estimator'!$A$10:$Z$226,P$2,FALSE)</f>
        <v>N/A</v>
      </c>
      <c r="Q111" s="577" t="str">
        <f>IF(VLOOKUP($A111,'Pre-Assessment Estimator'!$A$10:$Z$226,Q$2,FALSE)=0,"",VLOOKUP($A111,'Pre-Assessment Estimator'!$A$10:$Z$226,Q$2,FALSE))</f>
        <v/>
      </c>
      <c r="R111" s="577" t="str">
        <f>IF(VLOOKUP($A111,'Pre-Assessment Estimator'!$A$10:$Z$226,R$2,FALSE)=0,"",VLOOKUP($A111,'Pre-Assessment Estimator'!$A$10:$Z$226,R$2,FALSE))</f>
        <v/>
      </c>
      <c r="S111" s="578" t="str">
        <f>IF(VLOOKUP($A111,'Pre-Assessment Estimator'!$A$10:$Z$226,S$2,FALSE)=0,"",VLOOKUP($A111,'Pre-Assessment Estimator'!$A$10:$Z$226,S$2,FALSE))</f>
        <v/>
      </c>
      <c r="T111" s="581"/>
      <c r="U111" s="580" t="str">
        <f>IF(VLOOKUP($A111,'Pre-Assessment Estimator'!$A$10:$Z$226,U$2,FALSE)=0,"",VLOOKUP($A111,'Pre-Assessment Estimator'!$A$10:$Z$226,U$2,FALSE))</f>
        <v/>
      </c>
      <c r="V111" s="575">
        <f>VLOOKUP($A111,'Pre-Assessment Estimator'!$A$10:$Z$226,V$2,FALSE)</f>
        <v>0</v>
      </c>
      <c r="W111" s="574" t="str">
        <f>VLOOKUP($A111,'Pre-Assessment Estimator'!$A$10:$Z$226,W$2,FALSE)</f>
        <v>N/A</v>
      </c>
      <c r="X111" s="577" t="str">
        <f>IF(VLOOKUP($A111,'Pre-Assessment Estimator'!$A$10:$Z$226,X$2,FALSE)=0,"",VLOOKUP($A111,'Pre-Assessment Estimator'!$A$10:$Z$226,X$2,FALSE))</f>
        <v/>
      </c>
      <c r="Y111" s="577" t="str">
        <f>IF(VLOOKUP($A111,'Pre-Assessment Estimator'!$A$10:$Z$226,Y$2,FALSE)=0,"",VLOOKUP($A111,'Pre-Assessment Estimator'!$A$10:$Z$226,Y$2,FALSE))</f>
        <v/>
      </c>
      <c r="Z111" s="370" t="str">
        <f>IF(VLOOKUP($A111,'Pre-Assessment Estimator'!$A$10:$Z$226,Z$2,FALSE)=0,"",VLOOKUP($A111,'Pre-Assessment Estimator'!$A$10:$Z$226,Z$2,FALSE))</f>
        <v/>
      </c>
      <c r="AA111" s="696">
        <v>101</v>
      </c>
      <c r="AB111" s="577"/>
      <c r="AF111" s="386">
        <f t="shared" si="2"/>
        <v>1</v>
      </c>
    </row>
    <row r="112" spans="1:32" x14ac:dyDescent="0.25">
      <c r="A112" s="823">
        <v>103</v>
      </c>
      <c r="B112" s="1234" t="s">
        <v>59</v>
      </c>
      <c r="C112" s="1234"/>
      <c r="D112" s="1257" t="str">
        <f>VLOOKUP($A112,'Pre-Assessment Estimator'!$A$10:$Z$226,D$2,FALSE)</f>
        <v>Wat 03</v>
      </c>
      <c r="E112" s="1258" t="str">
        <f>VLOOKUP($A112,'Pre-Assessment Estimator'!$A$10:$Z$226,E$2,FALSE)</f>
        <v>Leak isolation</v>
      </c>
      <c r="F112" s="574">
        <f>VLOOKUP($A112,'Pre-Assessment Estimator'!$A$10:$Z$226,F$2,FALSE)</f>
        <v>0</v>
      </c>
      <c r="G112" s="580" t="str">
        <f>IF(VLOOKUP($A112,'Pre-Assessment Estimator'!$A$10:$Z$226,G$2,FALSE)=0,"",VLOOKUP($A112,'Pre-Assessment Estimator'!$A$10:$Z$226,G$2,FALSE))</f>
        <v/>
      </c>
      <c r="H112" s="1220">
        <f>VLOOKUP($A112,'Pre-Assessment Estimator'!$A$10:$Z$226,H$2,FALSE)</f>
        <v>0</v>
      </c>
      <c r="I112" s="576" t="str">
        <f>VLOOKUP($A112,'Pre-Assessment Estimator'!$A$10:$Z$226,I$2,FALSE)</f>
        <v>N/A</v>
      </c>
      <c r="J112" s="577" t="str">
        <f>IF(VLOOKUP($A112,'Pre-Assessment Estimator'!$A$10:$Z$226,J$2,FALSE)=0,"",VLOOKUP($A112,'Pre-Assessment Estimator'!$A$10:$Z$226,J$2,FALSE))</f>
        <v/>
      </c>
      <c r="K112" s="577" t="str">
        <f>IF(VLOOKUP($A112,'Pre-Assessment Estimator'!$A$10:$Z$226,K$2,FALSE)=0,"",VLOOKUP($A112,'Pre-Assessment Estimator'!$A$10:$Z$226,K$2,FALSE))</f>
        <v/>
      </c>
      <c r="L112" s="578" t="str">
        <f>IF(VLOOKUP($A112,'Pre-Assessment Estimator'!$A$10:$Z$226,L$2,FALSE)=0,"",VLOOKUP($A112,'Pre-Assessment Estimator'!$A$10:$Z$226,L$2,FALSE))</f>
        <v/>
      </c>
      <c r="M112" s="579"/>
      <c r="N112" s="580" t="str">
        <f>IF(VLOOKUP($A112,'Pre-Assessment Estimator'!$A$10:$Z$226,N$2,FALSE)=0,"",VLOOKUP($A112,'Pre-Assessment Estimator'!$A$10:$Z$226,N$2,FALSE))</f>
        <v/>
      </c>
      <c r="O112" s="575">
        <f>VLOOKUP($A112,'Pre-Assessment Estimator'!$A$10:$Z$226,O$2,FALSE)</f>
        <v>0</v>
      </c>
      <c r="P112" s="574" t="str">
        <f>VLOOKUP($A112,'Pre-Assessment Estimator'!$A$10:$Z$226,P$2,FALSE)</f>
        <v>N/A</v>
      </c>
      <c r="Q112" s="577" t="str">
        <f>IF(VLOOKUP($A112,'Pre-Assessment Estimator'!$A$10:$Z$226,Q$2,FALSE)=0,"",VLOOKUP($A112,'Pre-Assessment Estimator'!$A$10:$Z$226,Q$2,FALSE))</f>
        <v/>
      </c>
      <c r="R112" s="577" t="str">
        <f>IF(VLOOKUP($A112,'Pre-Assessment Estimator'!$A$10:$Z$226,R$2,FALSE)=0,"",VLOOKUP($A112,'Pre-Assessment Estimator'!$A$10:$Z$226,R$2,FALSE))</f>
        <v/>
      </c>
      <c r="S112" s="578" t="str">
        <f>IF(VLOOKUP($A112,'Pre-Assessment Estimator'!$A$10:$Z$226,S$2,FALSE)=0,"",VLOOKUP($A112,'Pre-Assessment Estimator'!$A$10:$Z$226,S$2,FALSE))</f>
        <v/>
      </c>
      <c r="T112" s="581"/>
      <c r="U112" s="580" t="str">
        <f>IF(VLOOKUP($A112,'Pre-Assessment Estimator'!$A$10:$Z$226,U$2,FALSE)=0,"",VLOOKUP($A112,'Pre-Assessment Estimator'!$A$10:$Z$226,U$2,FALSE))</f>
        <v/>
      </c>
      <c r="V112" s="575">
        <f>VLOOKUP($A112,'Pre-Assessment Estimator'!$A$10:$Z$226,V$2,FALSE)</f>
        <v>0</v>
      </c>
      <c r="W112" s="574" t="str">
        <f>VLOOKUP($A112,'Pre-Assessment Estimator'!$A$10:$Z$226,W$2,FALSE)</f>
        <v>N/A</v>
      </c>
      <c r="X112" s="577" t="str">
        <f>IF(VLOOKUP($A112,'Pre-Assessment Estimator'!$A$10:$Z$226,X$2,FALSE)=0,"",VLOOKUP($A112,'Pre-Assessment Estimator'!$A$10:$Z$226,X$2,FALSE))</f>
        <v/>
      </c>
      <c r="Y112" s="577" t="str">
        <f>IF(VLOOKUP($A112,'Pre-Assessment Estimator'!$A$10:$Z$226,Y$2,FALSE)=0,"",VLOOKUP($A112,'Pre-Assessment Estimator'!$A$10:$Z$226,Y$2,FALSE))</f>
        <v/>
      </c>
      <c r="Z112" s="370" t="str">
        <f>IF(VLOOKUP($A112,'Pre-Assessment Estimator'!$A$10:$Z$226,Z$2,FALSE)=0,"",VLOOKUP($A112,'Pre-Assessment Estimator'!$A$10:$Z$226,Z$2,FALSE))</f>
        <v/>
      </c>
      <c r="AA112" s="696">
        <v>102</v>
      </c>
      <c r="AB112" s="577"/>
      <c r="AF112" s="386">
        <f t="shared" si="2"/>
        <v>2</v>
      </c>
    </row>
    <row r="113" spans="1:32" x14ac:dyDescent="0.25">
      <c r="A113" s="823">
        <v>104</v>
      </c>
      <c r="B113" s="1234" t="s">
        <v>59</v>
      </c>
      <c r="C113" s="1234"/>
      <c r="D113" s="1256" t="str">
        <f>VLOOKUP($A113,'Pre-Assessment Estimator'!$A$10:$Z$226,D$2,FALSE)</f>
        <v>Wat 04</v>
      </c>
      <c r="E113" s="1256" t="str">
        <f>VLOOKUP($A113,'Pre-Assessment Estimator'!$A$10:$Z$226,E$2,FALSE)</f>
        <v>Wat 04 Water efficient equipment</v>
      </c>
      <c r="F113" s="574">
        <f>VLOOKUP($A113,'Pre-Assessment Estimator'!$A$10:$Z$226,F$2,FALSE)</f>
        <v>1</v>
      </c>
      <c r="G113" s="580" t="str">
        <f>IF(VLOOKUP($A113,'Pre-Assessment Estimator'!$A$10:$Z$226,G$2,FALSE)=0,"",VLOOKUP($A113,'Pre-Assessment Estimator'!$A$10:$Z$226,G$2,FALSE))</f>
        <v/>
      </c>
      <c r="H113" s="1220" t="str">
        <f>VLOOKUP($A113,'Pre-Assessment Estimator'!$A$10:$Z$226,H$2,FALSE)</f>
        <v>0 c. 0 %</v>
      </c>
      <c r="I113" s="576" t="str">
        <f>VLOOKUP($A113,'Pre-Assessment Estimator'!$A$10:$Z$226,I$2,FALSE)</f>
        <v>N/A</v>
      </c>
      <c r="J113" s="577" t="str">
        <f>IF(VLOOKUP($A113,'Pre-Assessment Estimator'!$A$10:$Z$226,J$2,FALSE)=0,"",VLOOKUP($A113,'Pre-Assessment Estimator'!$A$10:$Z$226,J$2,FALSE))</f>
        <v/>
      </c>
      <c r="K113" s="577" t="str">
        <f>IF(VLOOKUP($A113,'Pre-Assessment Estimator'!$A$10:$Z$226,K$2,FALSE)=0,"",VLOOKUP($A113,'Pre-Assessment Estimator'!$A$10:$Z$226,K$2,FALSE))</f>
        <v/>
      </c>
      <c r="L113" s="578" t="str">
        <f>IF(VLOOKUP($A113,'Pre-Assessment Estimator'!$A$10:$Z$226,L$2,FALSE)=0,"",VLOOKUP($A113,'Pre-Assessment Estimator'!$A$10:$Z$226,L$2,FALSE))</f>
        <v/>
      </c>
      <c r="M113" s="579"/>
      <c r="N113" s="580" t="str">
        <f>IF(VLOOKUP($A113,'Pre-Assessment Estimator'!$A$10:$Z$226,N$2,FALSE)=0,"",VLOOKUP($A113,'Pre-Assessment Estimator'!$A$10:$Z$226,N$2,FALSE))</f>
        <v/>
      </c>
      <c r="O113" s="575" t="str">
        <f>VLOOKUP($A113,'Pre-Assessment Estimator'!$A$10:$Z$226,O$2,FALSE)</f>
        <v>0 c. 0 %</v>
      </c>
      <c r="P113" s="574" t="str">
        <f>VLOOKUP($A113,'Pre-Assessment Estimator'!$A$10:$Z$226,P$2,FALSE)</f>
        <v>N/A</v>
      </c>
      <c r="Q113" s="577" t="str">
        <f>IF(VLOOKUP($A113,'Pre-Assessment Estimator'!$A$10:$Z$226,Q$2,FALSE)=0,"",VLOOKUP($A113,'Pre-Assessment Estimator'!$A$10:$Z$226,Q$2,FALSE))</f>
        <v/>
      </c>
      <c r="R113" s="577" t="str">
        <f>IF(VLOOKUP($A113,'Pre-Assessment Estimator'!$A$10:$Z$226,R$2,FALSE)=0,"",VLOOKUP($A113,'Pre-Assessment Estimator'!$A$10:$Z$226,R$2,FALSE))</f>
        <v/>
      </c>
      <c r="S113" s="578" t="str">
        <f>IF(VLOOKUP($A113,'Pre-Assessment Estimator'!$A$10:$Z$226,S$2,FALSE)=0,"",VLOOKUP($A113,'Pre-Assessment Estimator'!$A$10:$Z$226,S$2,FALSE))</f>
        <v/>
      </c>
      <c r="T113" s="581"/>
      <c r="U113" s="580" t="str">
        <f>IF(VLOOKUP($A113,'Pre-Assessment Estimator'!$A$10:$Z$226,U$2,FALSE)=0,"",VLOOKUP($A113,'Pre-Assessment Estimator'!$A$10:$Z$226,U$2,FALSE))</f>
        <v/>
      </c>
      <c r="V113" s="575" t="str">
        <f>VLOOKUP($A113,'Pre-Assessment Estimator'!$A$10:$Z$226,V$2,FALSE)</f>
        <v>0 c. 0 %</v>
      </c>
      <c r="W113" s="574" t="str">
        <f>VLOOKUP($A113,'Pre-Assessment Estimator'!$A$10:$Z$226,W$2,FALSE)</f>
        <v>N/A</v>
      </c>
      <c r="X113" s="577" t="str">
        <f>IF(VLOOKUP($A113,'Pre-Assessment Estimator'!$A$10:$Z$226,X$2,FALSE)=0,"",VLOOKUP($A113,'Pre-Assessment Estimator'!$A$10:$Z$226,X$2,FALSE))</f>
        <v/>
      </c>
      <c r="Y113" s="577" t="str">
        <f>IF(VLOOKUP($A113,'Pre-Assessment Estimator'!$A$10:$Z$226,Y$2,FALSE)=0,"",VLOOKUP($A113,'Pre-Assessment Estimator'!$A$10:$Z$226,Y$2,FALSE))</f>
        <v/>
      </c>
      <c r="Z113" s="370" t="str">
        <f>IF(VLOOKUP($A113,'Pre-Assessment Estimator'!$A$10:$Z$226,Z$2,FALSE)=0,"",VLOOKUP($A113,'Pre-Assessment Estimator'!$A$10:$Z$226,Z$2,FALSE))</f>
        <v/>
      </c>
      <c r="AA113" s="696">
        <v>103</v>
      </c>
      <c r="AB113" s="577"/>
      <c r="AF113" s="386">
        <f t="shared" si="2"/>
        <v>1</v>
      </c>
    </row>
    <row r="114" spans="1:32" x14ac:dyDescent="0.25">
      <c r="A114" s="823">
        <v>105</v>
      </c>
      <c r="B114" s="1234" t="s">
        <v>59</v>
      </c>
      <c r="C114" s="1234"/>
      <c r="D114" s="1257" t="str">
        <f>VLOOKUP($A114,'Pre-Assessment Estimator'!$A$10:$Z$226,D$2,FALSE)</f>
        <v>Wat 04</v>
      </c>
      <c r="E114" s="1258" t="str">
        <f>VLOOKUP($A114,'Pre-Assessment Estimator'!$A$10:$Z$226,E$2,FALSE)</f>
        <v>Water efficient equipment</v>
      </c>
      <c r="F114" s="574">
        <f>VLOOKUP($A114,'Pre-Assessment Estimator'!$A$10:$Z$226,F$2,FALSE)</f>
        <v>1</v>
      </c>
      <c r="G114" s="580" t="str">
        <f>IF(VLOOKUP($A114,'Pre-Assessment Estimator'!$A$10:$Z$226,G$2,FALSE)=0,"",VLOOKUP($A114,'Pre-Assessment Estimator'!$A$10:$Z$226,G$2,FALSE))</f>
        <v/>
      </c>
      <c r="H114" s="1220">
        <f>VLOOKUP($A114,'Pre-Assessment Estimator'!$A$10:$Z$226,H$2,FALSE)</f>
        <v>0</v>
      </c>
      <c r="I114" s="576" t="str">
        <f>VLOOKUP($A114,'Pre-Assessment Estimator'!$A$10:$Z$226,I$2,FALSE)</f>
        <v>N/A</v>
      </c>
      <c r="J114" s="577" t="str">
        <f>IF(VLOOKUP($A114,'Pre-Assessment Estimator'!$A$10:$Z$226,J$2,FALSE)=0,"",VLOOKUP($A114,'Pre-Assessment Estimator'!$A$10:$Z$226,J$2,FALSE))</f>
        <v/>
      </c>
      <c r="K114" s="577" t="str">
        <f>IF(VLOOKUP($A114,'Pre-Assessment Estimator'!$A$10:$Z$226,K$2,FALSE)=0,"",VLOOKUP($A114,'Pre-Assessment Estimator'!$A$10:$Z$226,K$2,FALSE))</f>
        <v/>
      </c>
      <c r="L114" s="578" t="str">
        <f>IF(VLOOKUP($A114,'Pre-Assessment Estimator'!$A$10:$Z$226,L$2,FALSE)=0,"",VLOOKUP($A114,'Pre-Assessment Estimator'!$A$10:$Z$226,L$2,FALSE))</f>
        <v/>
      </c>
      <c r="M114" s="579"/>
      <c r="N114" s="580" t="str">
        <f>IF(VLOOKUP($A114,'Pre-Assessment Estimator'!$A$10:$Z$226,N$2,FALSE)=0,"",VLOOKUP($A114,'Pre-Assessment Estimator'!$A$10:$Z$226,N$2,FALSE))</f>
        <v/>
      </c>
      <c r="O114" s="575">
        <f>VLOOKUP($A114,'Pre-Assessment Estimator'!$A$10:$Z$226,O$2,FALSE)</f>
        <v>0</v>
      </c>
      <c r="P114" s="574" t="str">
        <f>VLOOKUP($A114,'Pre-Assessment Estimator'!$A$10:$Z$226,P$2,FALSE)</f>
        <v>N/A</v>
      </c>
      <c r="Q114" s="577" t="str">
        <f>IF(VLOOKUP($A114,'Pre-Assessment Estimator'!$A$10:$Z$226,Q$2,FALSE)=0,"",VLOOKUP($A114,'Pre-Assessment Estimator'!$A$10:$Z$226,Q$2,FALSE))</f>
        <v/>
      </c>
      <c r="R114" s="577" t="str">
        <f>IF(VLOOKUP($A114,'Pre-Assessment Estimator'!$A$10:$Z$226,R$2,FALSE)=0,"",VLOOKUP($A114,'Pre-Assessment Estimator'!$A$10:$Z$226,R$2,FALSE))</f>
        <v/>
      </c>
      <c r="S114" s="578" t="str">
        <f>IF(VLOOKUP($A114,'Pre-Assessment Estimator'!$A$10:$Z$226,S$2,FALSE)=0,"",VLOOKUP($A114,'Pre-Assessment Estimator'!$A$10:$Z$226,S$2,FALSE))</f>
        <v/>
      </c>
      <c r="T114" s="581"/>
      <c r="U114" s="580" t="str">
        <f>IF(VLOOKUP($A114,'Pre-Assessment Estimator'!$A$10:$Z$226,U$2,FALSE)=0,"",VLOOKUP($A114,'Pre-Assessment Estimator'!$A$10:$Z$226,U$2,FALSE))</f>
        <v/>
      </c>
      <c r="V114" s="575">
        <f>VLOOKUP($A114,'Pre-Assessment Estimator'!$A$10:$Z$226,V$2,FALSE)</f>
        <v>0</v>
      </c>
      <c r="W114" s="574" t="str">
        <f>VLOOKUP($A114,'Pre-Assessment Estimator'!$A$10:$Z$226,W$2,FALSE)</f>
        <v>N/A</v>
      </c>
      <c r="X114" s="577" t="str">
        <f>IF(VLOOKUP($A114,'Pre-Assessment Estimator'!$A$10:$Z$226,X$2,FALSE)=0,"",VLOOKUP($A114,'Pre-Assessment Estimator'!$A$10:$Z$226,X$2,FALSE))</f>
        <v/>
      </c>
      <c r="Y114" s="577" t="str">
        <f>IF(VLOOKUP($A114,'Pre-Assessment Estimator'!$A$10:$Z$226,Y$2,FALSE)=0,"",VLOOKUP($A114,'Pre-Assessment Estimator'!$A$10:$Z$226,Y$2,FALSE))</f>
        <v/>
      </c>
      <c r="Z114" s="370" t="str">
        <f>IF(VLOOKUP($A114,'Pre-Assessment Estimator'!$A$10:$Z$226,Z$2,FALSE)=0,"",VLOOKUP($A114,'Pre-Assessment Estimator'!$A$10:$Z$226,Z$2,FALSE))</f>
        <v/>
      </c>
      <c r="AA114" s="696">
        <v>104</v>
      </c>
      <c r="AB114" s="577" t="str">
        <f>IF(VLOOKUP($A114,'Pre-Assessment Estimator'!$A$10:$AB$226,AB$2,FALSE)=0,"",VLOOKUP($A114,'Pre-Assessment Estimator'!$A$10:$AB$226,AB$2,FALSE))</f>
        <v/>
      </c>
      <c r="AF114" s="386">
        <f t="shared" si="2"/>
        <v>1</v>
      </c>
    </row>
    <row r="115" spans="1:32" ht="30" customHeight="1" thickBot="1" x14ac:dyDescent="0.3">
      <c r="A115" s="823">
        <v>106</v>
      </c>
      <c r="B115" s="1234" t="s">
        <v>59</v>
      </c>
      <c r="C115" s="1234"/>
      <c r="D115" s="1259"/>
      <c r="E115" s="1259" t="str">
        <f>VLOOKUP($A115,'Pre-Assessment Estimator'!$A$10:$Z$226,E$2,FALSE)</f>
        <v>Total performance water</v>
      </c>
      <c r="F115" s="582">
        <f>VLOOKUP($A115,'Pre-Assessment Estimator'!$A$10:$Z$226,F$2,FALSE)</f>
        <v>9</v>
      </c>
      <c r="G115" s="584" t="str">
        <f>IF(VLOOKUP($A115,'Pre-Assessment Estimator'!$A$10:$Z$226,G$2,FALSE)=0,"",VLOOKUP($A115,'Pre-Assessment Estimator'!$A$10:$Z$226,G$2,FALSE))</f>
        <v/>
      </c>
      <c r="H115" s="583">
        <f>VLOOKUP($A115,'Pre-Assessment Estimator'!$A$10:$Z$226,H$2,FALSE)</f>
        <v>0</v>
      </c>
      <c r="I115" s="582" t="str">
        <f>VLOOKUP($A115,'Pre-Assessment Estimator'!$A$10:$Z$226,I$2,FALSE)</f>
        <v>Credits achieved: 0</v>
      </c>
      <c r="J115" s="1202" t="str">
        <f>IF(VLOOKUP($A115,'Pre-Assessment Estimator'!$A$10:$Z$226,J$2,FALSE)=0,"",VLOOKUP($A115,'Pre-Assessment Estimator'!$A$10:$Z$226,J$2,FALSE))</f>
        <v/>
      </c>
      <c r="K115" s="1202" t="str">
        <f>IF(VLOOKUP($A115,'Pre-Assessment Estimator'!$A$10:$Z$226,K$2,FALSE)=0,"",VLOOKUP($A115,'Pre-Assessment Estimator'!$A$10:$Z$226,K$2,FALSE))</f>
        <v/>
      </c>
      <c r="L115" s="1221" t="str">
        <f>IF(VLOOKUP($A115,'Pre-Assessment Estimator'!$A$10:$Z$226,L$2,FALSE)=0,"",VLOOKUP($A115,'Pre-Assessment Estimator'!$A$10:$Z$226,L$2,FALSE))</f>
        <v/>
      </c>
      <c r="M115" s="1222"/>
      <c r="N115" s="584" t="str">
        <f>IF(VLOOKUP($A115,'Pre-Assessment Estimator'!$A$10:$Z$226,N$2,FALSE)=0,"",VLOOKUP($A115,'Pre-Assessment Estimator'!$A$10:$Z$226,N$2,FALSE))</f>
        <v/>
      </c>
      <c r="O115" s="583">
        <f>VLOOKUP($A115,'Pre-Assessment Estimator'!$A$10:$Z$226,O$2,FALSE)</f>
        <v>0</v>
      </c>
      <c r="P115" s="582" t="str">
        <f>VLOOKUP($A115,'Pre-Assessment Estimator'!$A$10:$Z$226,P$2,FALSE)</f>
        <v>Credits achieved: 0</v>
      </c>
      <c r="Q115" s="1202" t="str">
        <f>IF(VLOOKUP($A115,'Pre-Assessment Estimator'!$A$10:$Z$226,Q$2,FALSE)=0,"",VLOOKUP($A115,'Pre-Assessment Estimator'!$A$10:$Z$226,Q$2,FALSE))</f>
        <v/>
      </c>
      <c r="R115" s="1202" t="str">
        <f>IF(VLOOKUP($A115,'Pre-Assessment Estimator'!$A$10:$Z$226,R$2,FALSE)=0,"",VLOOKUP($A115,'Pre-Assessment Estimator'!$A$10:$Z$226,R$2,FALSE))</f>
        <v/>
      </c>
      <c r="S115" s="1221" t="str">
        <f>IF(VLOOKUP($A115,'Pre-Assessment Estimator'!$A$10:$Z$226,S$2,FALSE)=0,"",VLOOKUP($A115,'Pre-Assessment Estimator'!$A$10:$Z$226,S$2,FALSE))</f>
        <v/>
      </c>
      <c r="T115" s="1223"/>
      <c r="U115" s="584" t="str">
        <f>IF(VLOOKUP($A115,'Pre-Assessment Estimator'!$A$10:$Z$226,U$2,FALSE)=0,"",VLOOKUP($A115,'Pre-Assessment Estimator'!$A$10:$Z$226,U$2,FALSE))</f>
        <v/>
      </c>
      <c r="V115" s="583">
        <f>VLOOKUP($A115,'Pre-Assessment Estimator'!$A$10:$Z$226,V$2,FALSE)</f>
        <v>0</v>
      </c>
      <c r="W115" s="582" t="str">
        <f>VLOOKUP($A115,'Pre-Assessment Estimator'!$A$10:$Z$226,W$2,FALSE)</f>
        <v>Credits achieved: 0</v>
      </c>
      <c r="X115" s="1202" t="str">
        <f>IF(VLOOKUP($A115,'Pre-Assessment Estimator'!$A$10:$Z$226,X$2,FALSE)=0,"",VLOOKUP($A115,'Pre-Assessment Estimator'!$A$10:$Z$226,X$2,FALSE))</f>
        <v/>
      </c>
      <c r="Y115" s="1202" t="str">
        <f>IF(VLOOKUP($A115,'Pre-Assessment Estimator'!$A$10:$Z$226,Y$2,FALSE)=0,"",VLOOKUP($A115,'Pre-Assessment Estimator'!$A$10:$Z$226,Y$2,FALSE))</f>
        <v/>
      </c>
      <c r="Z115" s="1224" t="str">
        <f>IF(VLOOKUP($A115,'Pre-Assessment Estimator'!$A$10:$Z$226,Z$2,FALSE)=0,"",VLOOKUP($A115,'Pre-Assessment Estimator'!$A$10:$Z$226,Z$2,FALSE))</f>
        <v/>
      </c>
      <c r="AA115" s="696">
        <v>105</v>
      </c>
      <c r="AB115" s="585"/>
      <c r="AC115" s="389"/>
      <c r="AD115" s="389"/>
      <c r="AE115" s="389"/>
      <c r="AF115" s="386">
        <f t="shared" si="2"/>
        <v>1</v>
      </c>
    </row>
    <row r="116" spans="1:32" x14ac:dyDescent="0.25">
      <c r="A116" s="823">
        <v>107</v>
      </c>
      <c r="B116" s="1234" t="s">
        <v>68</v>
      </c>
      <c r="C116" s="1234"/>
      <c r="D116" s="585"/>
      <c r="E116" s="585"/>
      <c r="F116" s="586"/>
      <c r="G116" s="586"/>
      <c r="H116" s="586"/>
      <c r="I116" s="586"/>
      <c r="J116" s="585"/>
      <c r="K116" s="586"/>
      <c r="L116" s="585"/>
      <c r="M116" s="579"/>
      <c r="N116" s="586"/>
      <c r="O116" s="586"/>
      <c r="P116" s="586"/>
      <c r="Q116" s="585"/>
      <c r="R116" s="586"/>
      <c r="S116" s="585"/>
      <c r="T116" s="581"/>
      <c r="U116" s="586"/>
      <c r="V116" s="586"/>
      <c r="W116" s="586"/>
      <c r="X116" s="585"/>
      <c r="Y116" s="586"/>
      <c r="Z116" s="343"/>
      <c r="AA116" s="696">
        <v>106</v>
      </c>
      <c r="AB116" s="697"/>
      <c r="AF116" s="386">
        <f t="shared" si="2"/>
        <v>1</v>
      </c>
    </row>
    <row r="117" spans="1:32" ht="18.75" x14ac:dyDescent="0.25">
      <c r="A117" s="823">
        <v>108</v>
      </c>
      <c r="B117" s="1234" t="s">
        <v>68</v>
      </c>
      <c r="C117" s="1234"/>
      <c r="D117" s="587"/>
      <c r="E117" s="587" t="s">
        <v>68</v>
      </c>
      <c r="F117" s="570"/>
      <c r="G117" s="570"/>
      <c r="H117" s="570"/>
      <c r="I117" s="570"/>
      <c r="J117" s="571"/>
      <c r="K117" s="570"/>
      <c r="L117" s="571"/>
      <c r="M117" s="579"/>
      <c r="N117" s="570"/>
      <c r="O117" s="570"/>
      <c r="P117" s="570"/>
      <c r="Q117" s="571"/>
      <c r="R117" s="570"/>
      <c r="S117" s="571"/>
      <c r="T117" s="581"/>
      <c r="U117" s="570"/>
      <c r="V117" s="570"/>
      <c r="W117" s="570"/>
      <c r="X117" s="571"/>
      <c r="Y117" s="570"/>
      <c r="Z117" s="411"/>
      <c r="AA117" s="696">
        <v>107</v>
      </c>
      <c r="AB117" s="577" t="str">
        <f>IF(VLOOKUP($A117,'Pre-Assessment Estimator'!$A$10:$AB$226,AB$2,FALSE)=0,"",VLOOKUP($A117,'Pre-Assessment Estimator'!$A$10:$AB$226,AB$2,FALSE))</f>
        <v/>
      </c>
      <c r="AF117" s="386">
        <f t="shared" si="2"/>
        <v>1</v>
      </c>
    </row>
    <row r="118" spans="1:32" ht="30" x14ac:dyDescent="0.25">
      <c r="A118" s="823">
        <v>109</v>
      </c>
      <c r="B118" s="1234" t="s">
        <v>68</v>
      </c>
      <c r="C118" s="1234"/>
      <c r="D118" s="1256" t="str">
        <f>VLOOKUP($A118,'Pre-Assessment Estimator'!$A$10:$Z$226,D$2,FALSE)</f>
        <v>Mat 01</v>
      </c>
      <c r="E118" s="1256" t="str">
        <f>VLOOKUP($A118,'Pre-Assessment Estimator'!$A$10:$Z$226,E$2,FALSE)</f>
        <v>Mat 01 Environmental impacts from construction products - Building life cycle assessment (LCA)</v>
      </c>
      <c r="F118" s="574">
        <f>VLOOKUP($A118,'Pre-Assessment Estimator'!$A$10:$Z$226,F$2,FALSE)</f>
        <v>5</v>
      </c>
      <c r="G118" s="580" t="str">
        <f>IF(VLOOKUP($A118,'Pre-Assessment Estimator'!$A$10:$Z$226,G$2,FALSE)=0,"",VLOOKUP($A118,'Pre-Assessment Estimator'!$A$10:$Z$226,G$2,FALSE))</f>
        <v/>
      </c>
      <c r="H118" s="1220" t="str">
        <f>VLOOKUP($A118,'Pre-Assessment Estimator'!$A$10:$Z$226,H$2,FALSE)</f>
        <v>0 c. 0 %</v>
      </c>
      <c r="I118" s="576" t="str">
        <f>VLOOKUP($A118,'Pre-Assessment Estimator'!$A$10:$Z$226,I$2,FALSE)</f>
        <v>N/A</v>
      </c>
      <c r="J118" s="577" t="str">
        <f>IF(VLOOKUP($A118,'Pre-Assessment Estimator'!$A$10:$Z$226,J$2,FALSE)=0,"",VLOOKUP($A118,'Pre-Assessment Estimator'!$A$10:$Z$226,J$2,FALSE))</f>
        <v/>
      </c>
      <c r="K118" s="577" t="str">
        <f>IF(VLOOKUP($A118,'Pre-Assessment Estimator'!$A$10:$Z$226,K$2,FALSE)=0,"",VLOOKUP($A118,'Pre-Assessment Estimator'!$A$10:$Z$226,K$2,FALSE))</f>
        <v/>
      </c>
      <c r="L118" s="578" t="str">
        <f>IF(VLOOKUP($A118,'Pre-Assessment Estimator'!$A$10:$Z$226,L$2,FALSE)=0,"",VLOOKUP($A118,'Pre-Assessment Estimator'!$A$10:$Z$226,L$2,FALSE))</f>
        <v/>
      </c>
      <c r="M118" s="579"/>
      <c r="N118" s="580" t="str">
        <f>IF(VLOOKUP($A118,'Pre-Assessment Estimator'!$A$10:$Z$226,N$2,FALSE)=0,"",VLOOKUP($A118,'Pre-Assessment Estimator'!$A$10:$Z$226,N$2,FALSE))</f>
        <v/>
      </c>
      <c r="O118" s="575" t="str">
        <f>VLOOKUP($A118,'Pre-Assessment Estimator'!$A$10:$Z$226,O$2,FALSE)</f>
        <v>0 c. 0 %</v>
      </c>
      <c r="P118" s="574" t="str">
        <f>VLOOKUP($A118,'Pre-Assessment Estimator'!$A$10:$Z$226,P$2,FALSE)</f>
        <v>N/A</v>
      </c>
      <c r="Q118" s="577" t="str">
        <f>IF(VLOOKUP($A118,'Pre-Assessment Estimator'!$A$10:$Z$226,Q$2,FALSE)=0,"",VLOOKUP($A118,'Pre-Assessment Estimator'!$A$10:$Z$226,Q$2,FALSE))</f>
        <v/>
      </c>
      <c r="R118" s="577" t="str">
        <f>IF(VLOOKUP($A118,'Pre-Assessment Estimator'!$A$10:$Z$226,R$2,FALSE)=0,"",VLOOKUP($A118,'Pre-Assessment Estimator'!$A$10:$Z$226,R$2,FALSE))</f>
        <v/>
      </c>
      <c r="S118" s="578" t="str">
        <f>IF(VLOOKUP($A118,'Pre-Assessment Estimator'!$A$10:$Z$226,S$2,FALSE)=0,"",VLOOKUP($A118,'Pre-Assessment Estimator'!$A$10:$Z$226,S$2,FALSE))</f>
        <v/>
      </c>
      <c r="T118" s="581"/>
      <c r="U118" s="580" t="str">
        <f>IF(VLOOKUP($A118,'Pre-Assessment Estimator'!$A$10:$Z$226,U$2,FALSE)=0,"",VLOOKUP($A118,'Pre-Assessment Estimator'!$A$10:$Z$226,U$2,FALSE))</f>
        <v/>
      </c>
      <c r="V118" s="575" t="str">
        <f>VLOOKUP($A118,'Pre-Assessment Estimator'!$A$10:$Z$226,V$2,FALSE)</f>
        <v>0 c. 0 %</v>
      </c>
      <c r="W118" s="574" t="str">
        <f>VLOOKUP($A118,'Pre-Assessment Estimator'!$A$10:$Z$226,W$2,FALSE)</f>
        <v>N/A</v>
      </c>
      <c r="X118" s="577" t="str">
        <f>IF(VLOOKUP($A118,'Pre-Assessment Estimator'!$A$10:$Z$226,X$2,FALSE)=0,"",VLOOKUP($A118,'Pre-Assessment Estimator'!$A$10:$Z$226,X$2,FALSE))</f>
        <v/>
      </c>
      <c r="Y118" s="577" t="str">
        <f>IF(VLOOKUP($A118,'Pre-Assessment Estimator'!$A$10:$Z$226,Y$2,FALSE)=0,"",VLOOKUP($A118,'Pre-Assessment Estimator'!$A$10:$Z$226,Y$2,FALSE))</f>
        <v/>
      </c>
      <c r="Z118" s="370" t="str">
        <f>IF(VLOOKUP($A118,'Pre-Assessment Estimator'!$A$10:$Z$226,Z$2,FALSE)=0,"",VLOOKUP($A118,'Pre-Assessment Estimator'!$A$10:$Z$226,Z$2,FALSE))</f>
        <v/>
      </c>
      <c r="AA118" s="696">
        <v>108</v>
      </c>
      <c r="AB118" s="577"/>
      <c r="AF118" s="386">
        <f t="shared" si="2"/>
        <v>1</v>
      </c>
    </row>
    <row r="119" spans="1:32" x14ac:dyDescent="0.25">
      <c r="A119" s="823">
        <v>110</v>
      </c>
      <c r="B119" s="1234" t="s">
        <v>68</v>
      </c>
      <c r="C119" s="1234"/>
      <c r="D119" s="1257" t="str">
        <f>VLOOKUP($A119,'Pre-Assessment Estimator'!$A$10:$Z$226,D$2,FALSE)</f>
        <v>Mat 01</v>
      </c>
      <c r="E119" s="1258" t="str">
        <f>VLOOKUP($A119,'Pre-Assessment Estimator'!$A$10:$Z$226,E$2,FALSE)</f>
        <v>Pre-requisite: early stage greenhouse gas calculation</v>
      </c>
      <c r="F119" s="574" t="str">
        <f>VLOOKUP($A119,'Pre-Assessment Estimator'!$A$10:$Z$226,F$2,FALSE)</f>
        <v>Yes/No</v>
      </c>
      <c r="G119" s="580" t="str">
        <f>IF(VLOOKUP($A119,'Pre-Assessment Estimator'!$A$10:$Z$226,G$2,FALSE)=0,"",VLOOKUP($A119,'Pre-Assessment Estimator'!$A$10:$Z$226,G$2,FALSE))</f>
        <v/>
      </c>
      <c r="H119" s="1220" t="str">
        <f>VLOOKUP($A119,'Pre-Assessment Estimator'!$A$10:$Z$226,H$2,FALSE)</f>
        <v>-</v>
      </c>
      <c r="I119" s="576" t="str">
        <f>VLOOKUP($A119,'Pre-Assessment Estimator'!$A$10:$Z$226,I$2,FALSE)</f>
        <v>Unclassified</v>
      </c>
      <c r="J119" s="577" t="str">
        <f>IF(VLOOKUP($A119,'Pre-Assessment Estimator'!$A$10:$Z$226,J$2,FALSE)=0,"",VLOOKUP($A119,'Pre-Assessment Estimator'!$A$10:$Z$226,J$2,FALSE))</f>
        <v/>
      </c>
      <c r="K119" s="577" t="str">
        <f>IF(VLOOKUP($A119,'Pre-Assessment Estimator'!$A$10:$Z$226,K$2,FALSE)=0,"",VLOOKUP($A119,'Pre-Assessment Estimator'!$A$10:$Z$226,K$2,FALSE))</f>
        <v/>
      </c>
      <c r="L119" s="578" t="str">
        <f>IF(VLOOKUP($A119,'Pre-Assessment Estimator'!$A$10:$Z$226,L$2,FALSE)=0,"",VLOOKUP($A119,'Pre-Assessment Estimator'!$A$10:$Z$226,L$2,FALSE))</f>
        <v/>
      </c>
      <c r="M119" s="579"/>
      <c r="N119" s="580" t="str">
        <f>IF(VLOOKUP($A119,'Pre-Assessment Estimator'!$A$10:$Z$226,N$2,FALSE)=0,"",VLOOKUP($A119,'Pre-Assessment Estimator'!$A$10:$Z$226,N$2,FALSE))</f>
        <v/>
      </c>
      <c r="O119" s="575" t="str">
        <f>VLOOKUP($A119,'Pre-Assessment Estimator'!$A$10:$Z$226,O$2,FALSE)</f>
        <v>-</v>
      </c>
      <c r="P119" s="574" t="str">
        <f>VLOOKUP($A119,'Pre-Assessment Estimator'!$A$10:$Z$226,P$2,FALSE)</f>
        <v>Unclassified</v>
      </c>
      <c r="Q119" s="577" t="str">
        <f>IF(VLOOKUP($A119,'Pre-Assessment Estimator'!$A$10:$Z$226,Q$2,FALSE)=0,"",VLOOKUP($A119,'Pre-Assessment Estimator'!$A$10:$Z$226,Q$2,FALSE))</f>
        <v/>
      </c>
      <c r="R119" s="577" t="str">
        <f>IF(VLOOKUP($A119,'Pre-Assessment Estimator'!$A$10:$Z$226,R$2,FALSE)=0,"",VLOOKUP($A119,'Pre-Assessment Estimator'!$A$10:$Z$226,R$2,FALSE))</f>
        <v/>
      </c>
      <c r="S119" s="578" t="str">
        <f>IF(VLOOKUP($A119,'Pre-Assessment Estimator'!$A$10:$Z$226,S$2,FALSE)=0,"",VLOOKUP($A119,'Pre-Assessment Estimator'!$A$10:$Z$226,S$2,FALSE))</f>
        <v/>
      </c>
      <c r="T119" s="581"/>
      <c r="U119" s="580" t="str">
        <f>IF(VLOOKUP($A119,'Pre-Assessment Estimator'!$A$10:$Z$226,U$2,FALSE)=0,"",VLOOKUP($A119,'Pre-Assessment Estimator'!$A$10:$Z$226,U$2,FALSE))</f>
        <v/>
      </c>
      <c r="V119" s="575" t="str">
        <f>VLOOKUP($A119,'Pre-Assessment Estimator'!$A$10:$Z$226,V$2,FALSE)</f>
        <v>-</v>
      </c>
      <c r="W119" s="574" t="str">
        <f>VLOOKUP($A119,'Pre-Assessment Estimator'!$A$10:$Z$226,W$2,FALSE)</f>
        <v>Unclassified</v>
      </c>
      <c r="X119" s="577" t="str">
        <f>IF(VLOOKUP($A119,'Pre-Assessment Estimator'!$A$10:$Z$226,X$2,FALSE)=0,"",VLOOKUP($A119,'Pre-Assessment Estimator'!$A$10:$Z$226,X$2,FALSE))</f>
        <v/>
      </c>
      <c r="Y119" s="577" t="str">
        <f>IF(VLOOKUP($A119,'Pre-Assessment Estimator'!$A$10:$Z$226,Y$2,FALSE)=0,"",VLOOKUP($A119,'Pre-Assessment Estimator'!$A$10:$Z$226,Y$2,FALSE))</f>
        <v/>
      </c>
      <c r="Z119" s="370" t="str">
        <f>IF(VLOOKUP($A119,'Pre-Assessment Estimator'!$A$10:$Z$226,Z$2,FALSE)=0,"",VLOOKUP($A119,'Pre-Assessment Estimator'!$A$10:$Z$226,Z$2,FALSE))</f>
        <v/>
      </c>
      <c r="AA119" s="696">
        <v>109</v>
      </c>
      <c r="AB119" s="577"/>
      <c r="AF119" s="386">
        <f t="shared" si="2"/>
        <v>1</v>
      </c>
    </row>
    <row r="120" spans="1:32" x14ac:dyDescent="0.25">
      <c r="A120" s="823">
        <v>111</v>
      </c>
      <c r="B120" s="1234" t="s">
        <v>68</v>
      </c>
      <c r="C120" s="1234"/>
      <c r="D120" s="1257" t="str">
        <f>VLOOKUP($A120,'Pre-Assessment Estimator'!$A$10:$Z$226,D$2,FALSE)</f>
        <v>Mat 01</v>
      </c>
      <c r="E120" s="1258" t="str">
        <f>VLOOKUP($A120,'Pre-Assessment Estimator'!$A$10:$Z$226,E$2,FALSE)</f>
        <v>Reduction of greenhouse gas emissions</v>
      </c>
      <c r="F120" s="574">
        <f>VLOOKUP($A120,'Pre-Assessment Estimator'!$A$10:$Z$226,F$2,FALSE)</f>
        <v>3</v>
      </c>
      <c r="G120" s="580" t="str">
        <f>IF(VLOOKUP($A120,'Pre-Assessment Estimator'!$A$10:$Z$226,G$2,FALSE)=0,"",VLOOKUP($A120,'Pre-Assessment Estimator'!$A$10:$Z$226,G$2,FALSE))</f>
        <v/>
      </c>
      <c r="H120" s="1220">
        <f>VLOOKUP($A120,'Pre-Assessment Estimator'!$A$10:$Z$226,H$2,FALSE)</f>
        <v>0</v>
      </c>
      <c r="I120" s="576" t="str">
        <f>VLOOKUP($A120,'Pre-Assessment Estimator'!$A$10:$Z$226,I$2,FALSE)</f>
        <v>Good</v>
      </c>
      <c r="J120" s="577" t="str">
        <f>IF(VLOOKUP($A120,'Pre-Assessment Estimator'!$A$10:$Z$226,J$2,FALSE)=0,"",VLOOKUP($A120,'Pre-Assessment Estimator'!$A$10:$Z$226,J$2,FALSE))</f>
        <v/>
      </c>
      <c r="K120" s="577" t="str">
        <f>IF(VLOOKUP($A120,'Pre-Assessment Estimator'!$A$10:$Z$226,K$2,FALSE)=0,"",VLOOKUP($A120,'Pre-Assessment Estimator'!$A$10:$Z$226,K$2,FALSE))</f>
        <v/>
      </c>
      <c r="L120" s="578" t="str">
        <f>IF(VLOOKUP($A120,'Pre-Assessment Estimator'!$A$10:$Z$226,L$2,FALSE)=0,"",VLOOKUP($A120,'Pre-Assessment Estimator'!$A$10:$Z$226,L$2,FALSE))</f>
        <v/>
      </c>
      <c r="M120" s="579"/>
      <c r="N120" s="580" t="str">
        <f>IF(VLOOKUP($A120,'Pre-Assessment Estimator'!$A$10:$Z$226,N$2,FALSE)=0,"",VLOOKUP($A120,'Pre-Assessment Estimator'!$A$10:$Z$226,N$2,FALSE))</f>
        <v/>
      </c>
      <c r="O120" s="575">
        <f>VLOOKUP($A120,'Pre-Assessment Estimator'!$A$10:$Z$226,O$2,FALSE)</f>
        <v>0</v>
      </c>
      <c r="P120" s="574" t="str">
        <f>VLOOKUP($A120,'Pre-Assessment Estimator'!$A$10:$Z$226,P$2,FALSE)</f>
        <v>Good</v>
      </c>
      <c r="Q120" s="577" t="str">
        <f>IF(VLOOKUP($A120,'Pre-Assessment Estimator'!$A$10:$Z$226,Q$2,FALSE)=0,"",VLOOKUP($A120,'Pre-Assessment Estimator'!$A$10:$Z$226,Q$2,FALSE))</f>
        <v/>
      </c>
      <c r="R120" s="577" t="str">
        <f>IF(VLOOKUP($A120,'Pre-Assessment Estimator'!$A$10:$Z$226,R$2,FALSE)=0,"",VLOOKUP($A120,'Pre-Assessment Estimator'!$A$10:$Z$226,R$2,FALSE))</f>
        <v/>
      </c>
      <c r="S120" s="578" t="str">
        <f>IF(VLOOKUP($A120,'Pre-Assessment Estimator'!$A$10:$Z$226,S$2,FALSE)=0,"",VLOOKUP($A120,'Pre-Assessment Estimator'!$A$10:$Z$226,S$2,FALSE))</f>
        <v/>
      </c>
      <c r="T120" s="581"/>
      <c r="U120" s="580" t="str">
        <f>IF(VLOOKUP($A120,'Pre-Assessment Estimator'!$A$10:$Z$226,U$2,FALSE)=0,"",VLOOKUP($A120,'Pre-Assessment Estimator'!$A$10:$Z$226,U$2,FALSE))</f>
        <v/>
      </c>
      <c r="V120" s="575">
        <f>VLOOKUP($A120,'Pre-Assessment Estimator'!$A$10:$Z$226,V$2,FALSE)</f>
        <v>0</v>
      </c>
      <c r="W120" s="574" t="str">
        <f>VLOOKUP($A120,'Pre-Assessment Estimator'!$A$10:$Z$226,W$2,FALSE)</f>
        <v>Good</v>
      </c>
      <c r="X120" s="577" t="str">
        <f>IF(VLOOKUP($A120,'Pre-Assessment Estimator'!$A$10:$Z$226,X$2,FALSE)=0,"",VLOOKUP($A120,'Pre-Assessment Estimator'!$A$10:$Z$226,X$2,FALSE))</f>
        <v/>
      </c>
      <c r="Y120" s="577" t="str">
        <f>IF(VLOOKUP($A120,'Pre-Assessment Estimator'!$A$10:$Z$226,Y$2,FALSE)=0,"",VLOOKUP($A120,'Pre-Assessment Estimator'!$A$10:$Z$226,Y$2,FALSE))</f>
        <v/>
      </c>
      <c r="Z120" s="370" t="str">
        <f>IF(VLOOKUP($A120,'Pre-Assessment Estimator'!$A$10:$Z$226,Z$2,FALSE)=0,"",VLOOKUP($A120,'Pre-Assessment Estimator'!$A$10:$Z$226,Z$2,FALSE))</f>
        <v/>
      </c>
      <c r="AA120" s="696">
        <v>110</v>
      </c>
      <c r="AB120" s="577"/>
      <c r="AF120" s="386">
        <f t="shared" si="2"/>
        <v>1</v>
      </c>
    </row>
    <row r="121" spans="1:32" x14ac:dyDescent="0.25">
      <c r="A121" s="823">
        <v>112</v>
      </c>
      <c r="B121" s="1234" t="s">
        <v>68</v>
      </c>
      <c r="C121" s="1234"/>
      <c r="D121" s="1257" t="str">
        <f>VLOOKUP($A121,'Pre-Assessment Estimator'!$A$10:$Z$226,D$2,FALSE)</f>
        <v>Mat 01</v>
      </c>
      <c r="E121" s="1258" t="str">
        <f>VLOOKUP($A121,'Pre-Assessment Estimator'!$A$10:$Z$226,E$2,FALSE)</f>
        <v>Life cycle assessment of the building</v>
      </c>
      <c r="F121" s="574">
        <f>VLOOKUP($A121,'Pre-Assessment Estimator'!$A$10:$Z$226,F$2,FALSE)</f>
        <v>2</v>
      </c>
      <c r="G121" s="580" t="str">
        <f>IF(VLOOKUP($A121,'Pre-Assessment Estimator'!$A$10:$Z$226,G$2,FALSE)=0,"",VLOOKUP($A121,'Pre-Assessment Estimator'!$A$10:$Z$226,G$2,FALSE))</f>
        <v/>
      </c>
      <c r="H121" s="1220">
        <f>VLOOKUP($A121,'Pre-Assessment Estimator'!$A$10:$Z$226,H$2,FALSE)</f>
        <v>0</v>
      </c>
      <c r="I121" s="576" t="str">
        <f>VLOOKUP($A121,'Pre-Assessment Estimator'!$A$10:$Z$226,I$2,FALSE)</f>
        <v>N/A</v>
      </c>
      <c r="J121" s="577" t="str">
        <f>IF(VLOOKUP($A121,'Pre-Assessment Estimator'!$A$10:$Z$226,J$2,FALSE)=0,"",VLOOKUP($A121,'Pre-Assessment Estimator'!$A$10:$Z$226,J$2,FALSE))</f>
        <v/>
      </c>
      <c r="K121" s="577" t="str">
        <f>IF(VLOOKUP($A121,'Pre-Assessment Estimator'!$A$10:$Z$226,K$2,FALSE)=0,"",VLOOKUP($A121,'Pre-Assessment Estimator'!$A$10:$Z$226,K$2,FALSE))</f>
        <v/>
      </c>
      <c r="L121" s="578" t="str">
        <f>IF(VLOOKUP($A121,'Pre-Assessment Estimator'!$A$10:$Z$226,L$2,FALSE)=0,"",VLOOKUP($A121,'Pre-Assessment Estimator'!$A$10:$Z$226,L$2,FALSE))</f>
        <v/>
      </c>
      <c r="M121" s="579"/>
      <c r="N121" s="580" t="str">
        <f>IF(VLOOKUP($A121,'Pre-Assessment Estimator'!$A$10:$Z$226,N$2,FALSE)=0,"",VLOOKUP($A121,'Pre-Assessment Estimator'!$A$10:$Z$226,N$2,FALSE))</f>
        <v/>
      </c>
      <c r="O121" s="575">
        <f>VLOOKUP($A121,'Pre-Assessment Estimator'!$A$10:$Z$226,O$2,FALSE)</f>
        <v>0</v>
      </c>
      <c r="P121" s="574" t="str">
        <f>VLOOKUP($A121,'Pre-Assessment Estimator'!$A$10:$Z$226,P$2,FALSE)</f>
        <v>N/A</v>
      </c>
      <c r="Q121" s="577" t="str">
        <f>IF(VLOOKUP($A121,'Pre-Assessment Estimator'!$A$10:$Z$226,Q$2,FALSE)=0,"",VLOOKUP($A121,'Pre-Assessment Estimator'!$A$10:$Z$226,Q$2,FALSE))</f>
        <v/>
      </c>
      <c r="R121" s="577" t="str">
        <f>IF(VLOOKUP($A121,'Pre-Assessment Estimator'!$A$10:$Z$226,R$2,FALSE)=0,"",VLOOKUP($A121,'Pre-Assessment Estimator'!$A$10:$Z$226,R$2,FALSE))</f>
        <v/>
      </c>
      <c r="S121" s="578" t="str">
        <f>IF(VLOOKUP($A121,'Pre-Assessment Estimator'!$A$10:$Z$226,S$2,FALSE)=0,"",VLOOKUP($A121,'Pre-Assessment Estimator'!$A$10:$Z$226,S$2,FALSE))</f>
        <v/>
      </c>
      <c r="T121" s="581"/>
      <c r="U121" s="580" t="str">
        <f>IF(VLOOKUP($A121,'Pre-Assessment Estimator'!$A$10:$Z$226,U$2,FALSE)=0,"",VLOOKUP($A121,'Pre-Assessment Estimator'!$A$10:$Z$226,U$2,FALSE))</f>
        <v/>
      </c>
      <c r="V121" s="575">
        <f>VLOOKUP($A121,'Pre-Assessment Estimator'!$A$10:$Z$226,V$2,FALSE)</f>
        <v>0</v>
      </c>
      <c r="W121" s="574" t="str">
        <f>VLOOKUP($A121,'Pre-Assessment Estimator'!$A$10:$Z$226,W$2,FALSE)</f>
        <v>N/A</v>
      </c>
      <c r="X121" s="577" t="str">
        <f>IF(VLOOKUP($A121,'Pre-Assessment Estimator'!$A$10:$Z$226,X$2,FALSE)=0,"",VLOOKUP($A121,'Pre-Assessment Estimator'!$A$10:$Z$226,X$2,FALSE))</f>
        <v/>
      </c>
      <c r="Y121" s="577" t="str">
        <f>IF(VLOOKUP($A121,'Pre-Assessment Estimator'!$A$10:$Z$226,Y$2,FALSE)=0,"",VLOOKUP($A121,'Pre-Assessment Estimator'!$A$10:$Z$226,Y$2,FALSE))</f>
        <v/>
      </c>
      <c r="Z121" s="370" t="str">
        <f>IF(VLOOKUP($A121,'Pre-Assessment Estimator'!$A$10:$Z$226,Z$2,FALSE)=0,"",VLOOKUP($A121,'Pre-Assessment Estimator'!$A$10:$Z$226,Z$2,FALSE))</f>
        <v/>
      </c>
      <c r="AA121" s="696">
        <v>111</v>
      </c>
      <c r="AB121" s="577"/>
      <c r="AF121" s="386">
        <f t="shared" si="2"/>
        <v>1</v>
      </c>
    </row>
    <row r="122" spans="1:32" ht="30" x14ac:dyDescent="0.25">
      <c r="A122" s="823">
        <v>113</v>
      </c>
      <c r="B122" s="1234" t="s">
        <v>68</v>
      </c>
      <c r="C122" s="1234"/>
      <c r="D122" s="1256" t="str">
        <f>VLOOKUP($A122,'Pre-Assessment Estimator'!$A$10:$Z$226,D$2,FALSE)</f>
        <v>Mat 02</v>
      </c>
      <c r="E122" s="1256" t="str">
        <f>VLOOKUP($A122,'Pre-Assessment Estimator'!$A$10:$Z$226,E$2,FALSE)</f>
        <v>Mat 02 Environmental impacts from construction products - product requirements</v>
      </c>
      <c r="F122" s="574">
        <f>VLOOKUP($A122,'Pre-Assessment Estimator'!$A$10:$Z$226,F$2,FALSE)</f>
        <v>3</v>
      </c>
      <c r="G122" s="580" t="str">
        <f>IF(VLOOKUP($A122,'Pre-Assessment Estimator'!$A$10:$Z$226,G$2,FALSE)=0,"",VLOOKUP($A122,'Pre-Assessment Estimator'!$A$10:$Z$226,G$2,FALSE))</f>
        <v/>
      </c>
      <c r="H122" s="1220" t="str">
        <f>VLOOKUP($A122,'Pre-Assessment Estimator'!$A$10:$Z$226,H$2,FALSE)</f>
        <v>0 c. 0 %</v>
      </c>
      <c r="I122" s="576" t="str">
        <f>VLOOKUP($A122,'Pre-Assessment Estimator'!$A$10:$Z$226,I$2,FALSE)</f>
        <v>N/A</v>
      </c>
      <c r="J122" s="577" t="str">
        <f>IF(VLOOKUP($A122,'Pre-Assessment Estimator'!$A$10:$Z$226,J$2,FALSE)=0,"",VLOOKUP($A122,'Pre-Assessment Estimator'!$A$10:$Z$226,J$2,FALSE))</f>
        <v/>
      </c>
      <c r="K122" s="577" t="str">
        <f>IF(VLOOKUP($A122,'Pre-Assessment Estimator'!$A$10:$Z$226,K$2,FALSE)=0,"",VLOOKUP($A122,'Pre-Assessment Estimator'!$A$10:$Z$226,K$2,FALSE))</f>
        <v/>
      </c>
      <c r="L122" s="578" t="str">
        <f>IF(VLOOKUP($A122,'Pre-Assessment Estimator'!$A$10:$Z$226,L$2,FALSE)=0,"",VLOOKUP($A122,'Pre-Assessment Estimator'!$A$10:$Z$226,L$2,FALSE))</f>
        <v/>
      </c>
      <c r="M122" s="579"/>
      <c r="N122" s="580" t="str">
        <f>IF(VLOOKUP($A122,'Pre-Assessment Estimator'!$A$10:$Z$226,N$2,FALSE)=0,"",VLOOKUP($A122,'Pre-Assessment Estimator'!$A$10:$Z$226,N$2,FALSE))</f>
        <v/>
      </c>
      <c r="O122" s="575" t="str">
        <f>VLOOKUP($A122,'Pre-Assessment Estimator'!$A$10:$Z$226,O$2,FALSE)</f>
        <v>0 c. 0 %</v>
      </c>
      <c r="P122" s="574" t="str">
        <f>VLOOKUP($A122,'Pre-Assessment Estimator'!$A$10:$Z$226,P$2,FALSE)</f>
        <v>N/A</v>
      </c>
      <c r="Q122" s="577" t="str">
        <f>IF(VLOOKUP($A122,'Pre-Assessment Estimator'!$A$10:$Z$226,Q$2,FALSE)=0,"",VLOOKUP($A122,'Pre-Assessment Estimator'!$A$10:$Z$226,Q$2,FALSE))</f>
        <v/>
      </c>
      <c r="R122" s="577" t="str">
        <f>IF(VLOOKUP($A122,'Pre-Assessment Estimator'!$A$10:$Z$226,R$2,FALSE)=0,"",VLOOKUP($A122,'Pre-Assessment Estimator'!$A$10:$Z$226,R$2,FALSE))</f>
        <v/>
      </c>
      <c r="S122" s="578" t="str">
        <f>IF(VLOOKUP($A122,'Pre-Assessment Estimator'!$A$10:$Z$226,S$2,FALSE)=0,"",VLOOKUP($A122,'Pre-Assessment Estimator'!$A$10:$Z$226,S$2,FALSE))</f>
        <v/>
      </c>
      <c r="T122" s="581"/>
      <c r="U122" s="580" t="str">
        <f>IF(VLOOKUP($A122,'Pre-Assessment Estimator'!$A$10:$Z$226,U$2,FALSE)=0,"",VLOOKUP($A122,'Pre-Assessment Estimator'!$A$10:$Z$226,U$2,FALSE))</f>
        <v/>
      </c>
      <c r="V122" s="575" t="str">
        <f>VLOOKUP($A122,'Pre-Assessment Estimator'!$A$10:$Z$226,V$2,FALSE)</f>
        <v>0 c. 0 %</v>
      </c>
      <c r="W122" s="574" t="str">
        <f>VLOOKUP($A122,'Pre-Assessment Estimator'!$A$10:$Z$226,W$2,FALSE)</f>
        <v>N/A</v>
      </c>
      <c r="X122" s="577" t="str">
        <f>IF(VLOOKUP($A122,'Pre-Assessment Estimator'!$A$10:$Z$226,X$2,FALSE)=0,"",VLOOKUP($A122,'Pre-Assessment Estimator'!$A$10:$Z$226,X$2,FALSE))</f>
        <v/>
      </c>
      <c r="Y122" s="577" t="str">
        <f>IF(VLOOKUP($A122,'Pre-Assessment Estimator'!$A$10:$Z$226,Y$2,FALSE)=0,"",VLOOKUP($A122,'Pre-Assessment Estimator'!$A$10:$Z$226,Y$2,FALSE))</f>
        <v/>
      </c>
      <c r="Z122" s="370" t="str">
        <f>IF(VLOOKUP($A122,'Pre-Assessment Estimator'!$A$10:$Z$226,Z$2,FALSE)=0,"",VLOOKUP($A122,'Pre-Assessment Estimator'!$A$10:$Z$226,Z$2,FALSE))</f>
        <v/>
      </c>
      <c r="AA122" s="696">
        <v>112</v>
      </c>
      <c r="AB122" s="577"/>
      <c r="AF122" s="386">
        <f t="shared" si="2"/>
        <v>1</v>
      </c>
    </row>
    <row r="123" spans="1:32" ht="30" x14ac:dyDescent="0.25">
      <c r="A123" s="823">
        <v>114</v>
      </c>
      <c r="B123" s="1234" t="s">
        <v>68</v>
      </c>
      <c r="C123" s="1234"/>
      <c r="D123" s="1257" t="str">
        <f>VLOOKUP($A123,'Pre-Assessment Estimator'!$A$10:$Z$226,D$2,FALSE)</f>
        <v>Mat 02</v>
      </c>
      <c r="E123" s="1258" t="str">
        <f>VLOOKUP($A123,'Pre-Assessment Estimator'!$A$10:$Z$226,E$2,FALSE)</f>
        <v>Minimum req: absence of environmental toxins (EU taxonomy requirement: criterion 1)</v>
      </c>
      <c r="F123" s="574" t="str">
        <f>VLOOKUP($A123,'Pre-Assessment Estimator'!$A$10:$Z$226,F$2,FALSE)</f>
        <v>Yes/No</v>
      </c>
      <c r="G123" s="580" t="str">
        <f>IF(VLOOKUP($A123,'Pre-Assessment Estimator'!$A$10:$Z$226,G$2,FALSE)=0,"",VLOOKUP($A123,'Pre-Assessment Estimator'!$A$10:$Z$226,G$2,FALSE))</f>
        <v/>
      </c>
      <c r="H123" s="1220" t="str">
        <f>VLOOKUP($A123,'Pre-Assessment Estimator'!$A$10:$Z$226,H$2,FALSE)</f>
        <v>-</v>
      </c>
      <c r="I123" s="576" t="str">
        <f>VLOOKUP($A123,'Pre-Assessment Estimator'!$A$10:$Z$226,I$2,FALSE)</f>
        <v>Unclassified</v>
      </c>
      <c r="J123" s="577" t="str">
        <f>IF(VLOOKUP($A123,'Pre-Assessment Estimator'!$A$10:$Z$226,J$2,FALSE)=0,"",VLOOKUP($A123,'Pre-Assessment Estimator'!$A$10:$Z$226,J$2,FALSE))</f>
        <v/>
      </c>
      <c r="K123" s="577" t="str">
        <f>IF(VLOOKUP($A123,'Pre-Assessment Estimator'!$A$10:$Z$226,K$2,FALSE)=0,"",VLOOKUP($A123,'Pre-Assessment Estimator'!$A$10:$Z$226,K$2,FALSE))</f>
        <v/>
      </c>
      <c r="L123" s="578" t="str">
        <f>IF(VLOOKUP($A123,'Pre-Assessment Estimator'!$A$10:$Z$226,L$2,FALSE)=0,"",VLOOKUP($A123,'Pre-Assessment Estimator'!$A$10:$Z$226,L$2,FALSE))</f>
        <v/>
      </c>
      <c r="M123" s="579"/>
      <c r="N123" s="580" t="str">
        <f>IF(VLOOKUP($A123,'Pre-Assessment Estimator'!$A$10:$Z$226,N$2,FALSE)=0,"",VLOOKUP($A123,'Pre-Assessment Estimator'!$A$10:$Z$226,N$2,FALSE))</f>
        <v/>
      </c>
      <c r="O123" s="575" t="str">
        <f>VLOOKUP($A123,'Pre-Assessment Estimator'!$A$10:$Z$226,O$2,FALSE)</f>
        <v>-</v>
      </c>
      <c r="P123" s="574" t="str">
        <f>VLOOKUP($A123,'Pre-Assessment Estimator'!$A$10:$Z$226,P$2,FALSE)</f>
        <v>Unclassified</v>
      </c>
      <c r="Q123" s="577" t="str">
        <f>IF(VLOOKUP($A123,'Pre-Assessment Estimator'!$A$10:$Z$226,Q$2,FALSE)=0,"",VLOOKUP($A123,'Pre-Assessment Estimator'!$A$10:$Z$226,Q$2,FALSE))</f>
        <v/>
      </c>
      <c r="R123" s="577" t="str">
        <f>IF(VLOOKUP($A123,'Pre-Assessment Estimator'!$A$10:$Z$226,R$2,FALSE)=0,"",VLOOKUP($A123,'Pre-Assessment Estimator'!$A$10:$Z$226,R$2,FALSE))</f>
        <v/>
      </c>
      <c r="S123" s="578" t="str">
        <f>IF(VLOOKUP($A123,'Pre-Assessment Estimator'!$A$10:$Z$226,S$2,FALSE)=0,"",VLOOKUP($A123,'Pre-Assessment Estimator'!$A$10:$Z$226,S$2,FALSE))</f>
        <v/>
      </c>
      <c r="T123" s="581"/>
      <c r="U123" s="580" t="str">
        <f>IF(VLOOKUP($A123,'Pre-Assessment Estimator'!$A$10:$Z$226,U$2,FALSE)=0,"",VLOOKUP($A123,'Pre-Assessment Estimator'!$A$10:$Z$226,U$2,FALSE))</f>
        <v/>
      </c>
      <c r="V123" s="575" t="str">
        <f>VLOOKUP($A123,'Pre-Assessment Estimator'!$A$10:$Z$226,V$2,FALSE)</f>
        <v>-</v>
      </c>
      <c r="W123" s="574" t="str">
        <f>VLOOKUP($A123,'Pre-Assessment Estimator'!$A$10:$Z$226,W$2,FALSE)</f>
        <v>Unclassified</v>
      </c>
      <c r="X123" s="577" t="str">
        <f>IF(VLOOKUP($A123,'Pre-Assessment Estimator'!$A$10:$Z$226,X$2,FALSE)=0,"",VLOOKUP($A123,'Pre-Assessment Estimator'!$A$10:$Z$226,X$2,FALSE))</f>
        <v/>
      </c>
      <c r="Y123" s="577" t="str">
        <f>IF(VLOOKUP($A123,'Pre-Assessment Estimator'!$A$10:$Z$226,Y$2,FALSE)=0,"",VLOOKUP($A123,'Pre-Assessment Estimator'!$A$10:$Z$226,Y$2,FALSE))</f>
        <v/>
      </c>
      <c r="Z123" s="370" t="str">
        <f>IF(VLOOKUP($A123,'Pre-Assessment Estimator'!$A$10:$Z$226,Z$2,FALSE)=0,"",VLOOKUP($A123,'Pre-Assessment Estimator'!$A$10:$Z$226,Z$2,FALSE))</f>
        <v/>
      </c>
      <c r="AA123" s="696">
        <v>113</v>
      </c>
      <c r="AB123" s="577"/>
      <c r="AF123" s="386">
        <f t="shared" si="2"/>
        <v>1</v>
      </c>
    </row>
    <row r="124" spans="1:32" x14ac:dyDescent="0.25">
      <c r="A124" s="823">
        <v>115</v>
      </c>
      <c r="B124" s="1234" t="s">
        <v>68</v>
      </c>
      <c r="C124" s="1234"/>
      <c r="D124" s="1257" t="str">
        <f>VLOOKUP($A124,'Pre-Assessment Estimator'!$A$10:$Z$226,D$2,FALSE)</f>
        <v>Mat 02</v>
      </c>
      <c r="E124" s="1258" t="str">
        <f>VLOOKUP($A124,'Pre-Assessment Estimator'!$A$10:$Z$226,E$2,FALSE)</f>
        <v xml:space="preserve">EPD for construction products </v>
      </c>
      <c r="F124" s="574">
        <f>VLOOKUP($A124,'Pre-Assessment Estimator'!$A$10:$Z$226,F$2,FALSE)</f>
        <v>1</v>
      </c>
      <c r="G124" s="580" t="str">
        <f>IF(VLOOKUP($A124,'Pre-Assessment Estimator'!$A$10:$Z$226,G$2,FALSE)=0,"",VLOOKUP($A124,'Pre-Assessment Estimator'!$A$10:$Z$226,G$2,FALSE))</f>
        <v/>
      </c>
      <c r="H124" s="1220">
        <f>VLOOKUP($A124,'Pre-Assessment Estimator'!$A$10:$Z$226,H$2,FALSE)</f>
        <v>0</v>
      </c>
      <c r="I124" s="576" t="str">
        <f>VLOOKUP($A124,'Pre-Assessment Estimator'!$A$10:$Z$226,I$2,FALSE)</f>
        <v>N/A</v>
      </c>
      <c r="J124" s="577" t="str">
        <f>IF(VLOOKUP($A124,'Pre-Assessment Estimator'!$A$10:$Z$226,J$2,FALSE)=0,"",VLOOKUP($A124,'Pre-Assessment Estimator'!$A$10:$Z$226,J$2,FALSE))</f>
        <v/>
      </c>
      <c r="K124" s="577" t="str">
        <f>IF(VLOOKUP($A124,'Pre-Assessment Estimator'!$A$10:$Z$226,K$2,FALSE)=0,"",VLOOKUP($A124,'Pre-Assessment Estimator'!$A$10:$Z$226,K$2,FALSE))</f>
        <v/>
      </c>
      <c r="L124" s="578" t="str">
        <f>IF(VLOOKUP($A124,'Pre-Assessment Estimator'!$A$10:$Z$226,L$2,FALSE)=0,"",VLOOKUP($A124,'Pre-Assessment Estimator'!$A$10:$Z$226,L$2,FALSE))</f>
        <v/>
      </c>
      <c r="M124" s="579"/>
      <c r="N124" s="580" t="str">
        <f>IF(VLOOKUP($A124,'Pre-Assessment Estimator'!$A$10:$Z$226,N$2,FALSE)=0,"",VLOOKUP($A124,'Pre-Assessment Estimator'!$A$10:$Z$226,N$2,FALSE))</f>
        <v/>
      </c>
      <c r="O124" s="575">
        <f>VLOOKUP($A124,'Pre-Assessment Estimator'!$A$10:$Z$226,O$2,FALSE)</f>
        <v>0</v>
      </c>
      <c r="P124" s="574" t="str">
        <f>VLOOKUP($A124,'Pre-Assessment Estimator'!$A$10:$Z$226,P$2,FALSE)</f>
        <v>N/A</v>
      </c>
      <c r="Q124" s="577" t="str">
        <f>IF(VLOOKUP($A124,'Pre-Assessment Estimator'!$A$10:$Z$226,Q$2,FALSE)=0,"",VLOOKUP($A124,'Pre-Assessment Estimator'!$A$10:$Z$226,Q$2,FALSE))</f>
        <v/>
      </c>
      <c r="R124" s="577" t="str">
        <f>IF(VLOOKUP($A124,'Pre-Assessment Estimator'!$A$10:$Z$226,R$2,FALSE)=0,"",VLOOKUP($A124,'Pre-Assessment Estimator'!$A$10:$Z$226,R$2,FALSE))</f>
        <v/>
      </c>
      <c r="S124" s="578" t="str">
        <f>IF(VLOOKUP($A124,'Pre-Assessment Estimator'!$A$10:$Z$226,S$2,FALSE)=0,"",VLOOKUP($A124,'Pre-Assessment Estimator'!$A$10:$Z$226,S$2,FALSE))</f>
        <v/>
      </c>
      <c r="T124" s="581"/>
      <c r="U124" s="580" t="str">
        <f>IF(VLOOKUP($A124,'Pre-Assessment Estimator'!$A$10:$Z$226,U$2,FALSE)=0,"",VLOOKUP($A124,'Pre-Assessment Estimator'!$A$10:$Z$226,U$2,FALSE))</f>
        <v/>
      </c>
      <c r="V124" s="575">
        <f>VLOOKUP($A124,'Pre-Assessment Estimator'!$A$10:$Z$226,V$2,FALSE)</f>
        <v>0</v>
      </c>
      <c r="W124" s="574" t="str">
        <f>VLOOKUP($A124,'Pre-Assessment Estimator'!$A$10:$Z$226,W$2,FALSE)</f>
        <v>N/A</v>
      </c>
      <c r="X124" s="577" t="str">
        <f>IF(VLOOKUP($A124,'Pre-Assessment Estimator'!$A$10:$Z$226,X$2,FALSE)=0,"",VLOOKUP($A124,'Pre-Assessment Estimator'!$A$10:$Z$226,X$2,FALSE))</f>
        <v/>
      </c>
      <c r="Y124" s="577" t="str">
        <f>IF(VLOOKUP($A124,'Pre-Assessment Estimator'!$A$10:$Z$226,Y$2,FALSE)=0,"",VLOOKUP($A124,'Pre-Assessment Estimator'!$A$10:$Z$226,Y$2,FALSE))</f>
        <v/>
      </c>
      <c r="Z124" s="370" t="str">
        <f>IF(VLOOKUP($A124,'Pre-Assessment Estimator'!$A$10:$Z$226,Z$2,FALSE)=0,"",VLOOKUP($A124,'Pre-Assessment Estimator'!$A$10:$Z$226,Z$2,FALSE))</f>
        <v/>
      </c>
      <c r="AA124" s="696">
        <v>114</v>
      </c>
      <c r="AB124" s="577"/>
      <c r="AF124" s="386">
        <f t="shared" si="2"/>
        <v>1</v>
      </c>
    </row>
    <row r="125" spans="1:32" x14ac:dyDescent="0.25">
      <c r="A125" s="823">
        <v>116</v>
      </c>
      <c r="B125" s="1234" t="s">
        <v>68</v>
      </c>
      <c r="C125" s="1234"/>
      <c r="D125" s="1257" t="str">
        <f>VLOOKUP($A125,'Pre-Assessment Estimator'!$A$10:$Z$226,D$2,FALSE)</f>
        <v>Mat 02</v>
      </c>
      <c r="E125" s="1258" t="str">
        <f>VLOOKUP($A125,'Pre-Assessment Estimator'!$A$10:$Z$226,E$2,FALSE)</f>
        <v xml:space="preserve">Performance requirements for construction products </v>
      </c>
      <c r="F125" s="574">
        <f>VLOOKUP($A125,'Pre-Assessment Estimator'!$A$10:$Z$226,F$2,FALSE)</f>
        <v>2</v>
      </c>
      <c r="G125" s="580" t="str">
        <f>IF(VLOOKUP($A125,'Pre-Assessment Estimator'!$A$10:$Z$226,G$2,FALSE)=0,"",VLOOKUP($A125,'Pre-Assessment Estimator'!$A$10:$Z$226,G$2,FALSE))</f>
        <v/>
      </c>
      <c r="H125" s="1220">
        <f>VLOOKUP($A125,'Pre-Assessment Estimator'!$A$10:$Z$226,H$2,FALSE)</f>
        <v>0</v>
      </c>
      <c r="I125" s="576" t="str">
        <f>VLOOKUP($A125,'Pre-Assessment Estimator'!$A$10:$Z$226,I$2,FALSE)</f>
        <v>N/A</v>
      </c>
      <c r="J125" s="577" t="str">
        <f>IF(VLOOKUP($A125,'Pre-Assessment Estimator'!$A$10:$Z$226,J$2,FALSE)=0,"",VLOOKUP($A125,'Pre-Assessment Estimator'!$A$10:$Z$226,J$2,FALSE))</f>
        <v/>
      </c>
      <c r="K125" s="577" t="str">
        <f>IF(VLOOKUP($A125,'Pre-Assessment Estimator'!$A$10:$Z$226,K$2,FALSE)=0,"",VLOOKUP($A125,'Pre-Assessment Estimator'!$A$10:$Z$226,K$2,FALSE))</f>
        <v/>
      </c>
      <c r="L125" s="578" t="str">
        <f>IF(VLOOKUP($A125,'Pre-Assessment Estimator'!$A$10:$Z$226,L$2,FALSE)=0,"",VLOOKUP($A125,'Pre-Assessment Estimator'!$A$10:$Z$226,L$2,FALSE))</f>
        <v/>
      </c>
      <c r="M125" s="579"/>
      <c r="N125" s="580" t="str">
        <f>IF(VLOOKUP($A125,'Pre-Assessment Estimator'!$A$10:$Z$226,N$2,FALSE)=0,"",VLOOKUP($A125,'Pre-Assessment Estimator'!$A$10:$Z$226,N$2,FALSE))</f>
        <v/>
      </c>
      <c r="O125" s="575">
        <f>VLOOKUP($A125,'Pre-Assessment Estimator'!$A$10:$Z$226,O$2,FALSE)</f>
        <v>0</v>
      </c>
      <c r="P125" s="574" t="str">
        <f>VLOOKUP($A125,'Pre-Assessment Estimator'!$A$10:$Z$226,P$2,FALSE)</f>
        <v>N/A</v>
      </c>
      <c r="Q125" s="577" t="str">
        <f>IF(VLOOKUP($A125,'Pre-Assessment Estimator'!$A$10:$Z$226,Q$2,FALSE)=0,"",VLOOKUP($A125,'Pre-Assessment Estimator'!$A$10:$Z$226,Q$2,FALSE))</f>
        <v/>
      </c>
      <c r="R125" s="577" t="str">
        <f>IF(VLOOKUP($A125,'Pre-Assessment Estimator'!$A$10:$Z$226,R$2,FALSE)=0,"",VLOOKUP($A125,'Pre-Assessment Estimator'!$A$10:$Z$226,R$2,FALSE))</f>
        <v/>
      </c>
      <c r="S125" s="578" t="str">
        <f>IF(VLOOKUP($A125,'Pre-Assessment Estimator'!$A$10:$Z$226,S$2,FALSE)=0,"",VLOOKUP($A125,'Pre-Assessment Estimator'!$A$10:$Z$226,S$2,FALSE))</f>
        <v/>
      </c>
      <c r="T125" s="581"/>
      <c r="U125" s="580" t="str">
        <f>IF(VLOOKUP($A125,'Pre-Assessment Estimator'!$A$10:$Z$226,U$2,FALSE)=0,"",VLOOKUP($A125,'Pre-Assessment Estimator'!$A$10:$Z$226,U$2,FALSE))</f>
        <v/>
      </c>
      <c r="V125" s="575">
        <f>VLOOKUP($A125,'Pre-Assessment Estimator'!$A$10:$Z$226,V$2,FALSE)</f>
        <v>0</v>
      </c>
      <c r="W125" s="574" t="str">
        <f>VLOOKUP($A125,'Pre-Assessment Estimator'!$A$10:$Z$226,W$2,FALSE)</f>
        <v>N/A</v>
      </c>
      <c r="X125" s="577" t="str">
        <f>IF(VLOOKUP($A125,'Pre-Assessment Estimator'!$A$10:$Z$226,X$2,FALSE)=0,"",VLOOKUP($A125,'Pre-Assessment Estimator'!$A$10:$Z$226,X$2,FALSE))</f>
        <v/>
      </c>
      <c r="Y125" s="577" t="str">
        <f>IF(VLOOKUP($A125,'Pre-Assessment Estimator'!$A$10:$Z$226,Y$2,FALSE)=0,"",VLOOKUP($A125,'Pre-Assessment Estimator'!$A$10:$Z$226,Y$2,FALSE))</f>
        <v/>
      </c>
      <c r="Z125" s="370" t="str">
        <f>IF(VLOOKUP($A125,'Pre-Assessment Estimator'!$A$10:$Z$226,Z$2,FALSE)=0,"",VLOOKUP($A125,'Pre-Assessment Estimator'!$A$10:$Z$226,Z$2,FALSE))</f>
        <v/>
      </c>
      <c r="AA125" s="696">
        <v>115</v>
      </c>
      <c r="AB125" s="577"/>
      <c r="AF125" s="386">
        <f t="shared" si="2"/>
        <v>1</v>
      </c>
    </row>
    <row r="126" spans="1:32" x14ac:dyDescent="0.25">
      <c r="A126" s="823">
        <v>117</v>
      </c>
      <c r="B126" s="1234" t="s">
        <v>68</v>
      </c>
      <c r="C126" s="1234"/>
      <c r="D126" s="1256" t="str">
        <f>VLOOKUP($A126,'Pre-Assessment Estimator'!$A$10:$Z$226,D$2,FALSE)</f>
        <v>Mat 03</v>
      </c>
      <c r="E126" s="1256" t="str">
        <f>VLOOKUP($A126,'Pre-Assessment Estimator'!$A$10:$Z$226,E$2,FALSE)</f>
        <v>Mat 03 Responsible sourcing of construction products</v>
      </c>
      <c r="F126" s="574">
        <f>VLOOKUP($A126,'Pre-Assessment Estimator'!$A$10:$Z$226,F$2,FALSE)</f>
        <v>3</v>
      </c>
      <c r="G126" s="580" t="str">
        <f>IF(VLOOKUP($A126,'Pre-Assessment Estimator'!$A$10:$Z$226,G$2,FALSE)=0,"",VLOOKUP($A126,'Pre-Assessment Estimator'!$A$10:$Z$226,G$2,FALSE))</f>
        <v/>
      </c>
      <c r="H126" s="1220" t="str">
        <f>VLOOKUP($A126,'Pre-Assessment Estimator'!$A$10:$Z$226,H$2,FALSE)</f>
        <v>0 c. 0 %</v>
      </c>
      <c r="I126" s="576" t="str">
        <f>VLOOKUP($A126,'Pre-Assessment Estimator'!$A$10:$Z$226,I$2,FALSE)</f>
        <v>N/A</v>
      </c>
      <c r="J126" s="577" t="str">
        <f>IF(VLOOKUP($A126,'Pre-Assessment Estimator'!$A$10:$Z$226,J$2,FALSE)=0,"",VLOOKUP($A126,'Pre-Assessment Estimator'!$A$10:$Z$226,J$2,FALSE))</f>
        <v/>
      </c>
      <c r="K126" s="577" t="str">
        <f>IF(VLOOKUP($A126,'Pre-Assessment Estimator'!$A$10:$Z$226,K$2,FALSE)=0,"",VLOOKUP($A126,'Pre-Assessment Estimator'!$A$10:$Z$226,K$2,FALSE))</f>
        <v/>
      </c>
      <c r="L126" s="578" t="str">
        <f>IF(VLOOKUP($A126,'Pre-Assessment Estimator'!$A$10:$Z$226,L$2,FALSE)=0,"",VLOOKUP($A126,'Pre-Assessment Estimator'!$A$10:$Z$226,L$2,FALSE))</f>
        <v/>
      </c>
      <c r="M126" s="579"/>
      <c r="N126" s="580" t="str">
        <f>IF(VLOOKUP($A126,'Pre-Assessment Estimator'!$A$10:$Z$226,N$2,FALSE)=0,"",VLOOKUP($A126,'Pre-Assessment Estimator'!$A$10:$Z$226,N$2,FALSE))</f>
        <v/>
      </c>
      <c r="O126" s="575" t="str">
        <f>VLOOKUP($A126,'Pre-Assessment Estimator'!$A$10:$Z$226,O$2,FALSE)</f>
        <v>0 c. 0 %</v>
      </c>
      <c r="P126" s="574" t="str">
        <f>VLOOKUP($A126,'Pre-Assessment Estimator'!$A$10:$Z$226,P$2,FALSE)</f>
        <v>N/A</v>
      </c>
      <c r="Q126" s="577" t="str">
        <f>IF(VLOOKUP($A126,'Pre-Assessment Estimator'!$A$10:$Z$226,Q$2,FALSE)=0,"",VLOOKUP($A126,'Pre-Assessment Estimator'!$A$10:$Z$226,Q$2,FALSE))</f>
        <v/>
      </c>
      <c r="R126" s="577" t="str">
        <f>IF(VLOOKUP($A126,'Pre-Assessment Estimator'!$A$10:$Z$226,R$2,FALSE)=0,"",VLOOKUP($A126,'Pre-Assessment Estimator'!$A$10:$Z$226,R$2,FALSE))</f>
        <v/>
      </c>
      <c r="S126" s="578" t="str">
        <f>IF(VLOOKUP($A126,'Pre-Assessment Estimator'!$A$10:$Z$226,S$2,FALSE)=0,"",VLOOKUP($A126,'Pre-Assessment Estimator'!$A$10:$Z$226,S$2,FALSE))</f>
        <v/>
      </c>
      <c r="T126" s="581"/>
      <c r="U126" s="580" t="str">
        <f>IF(VLOOKUP($A126,'Pre-Assessment Estimator'!$A$10:$Z$226,U$2,FALSE)=0,"",VLOOKUP($A126,'Pre-Assessment Estimator'!$A$10:$Z$226,U$2,FALSE))</f>
        <v/>
      </c>
      <c r="V126" s="575" t="str">
        <f>VLOOKUP($A126,'Pre-Assessment Estimator'!$A$10:$Z$226,V$2,FALSE)</f>
        <v>0 c. 0 %</v>
      </c>
      <c r="W126" s="574" t="str">
        <f>VLOOKUP($A126,'Pre-Assessment Estimator'!$A$10:$Z$226,W$2,FALSE)</f>
        <v>N/A</v>
      </c>
      <c r="X126" s="577" t="str">
        <f>IF(VLOOKUP($A126,'Pre-Assessment Estimator'!$A$10:$Z$226,X$2,FALSE)=0,"",VLOOKUP($A126,'Pre-Assessment Estimator'!$A$10:$Z$226,X$2,FALSE))</f>
        <v/>
      </c>
      <c r="Y126" s="577" t="str">
        <f>IF(VLOOKUP($A126,'Pre-Assessment Estimator'!$A$10:$Z$226,Y$2,FALSE)=0,"",VLOOKUP($A126,'Pre-Assessment Estimator'!$A$10:$Z$226,Y$2,FALSE))</f>
        <v/>
      </c>
      <c r="Z126" s="370" t="str">
        <f>IF(VLOOKUP($A126,'Pre-Assessment Estimator'!$A$10:$Z$226,Z$2,FALSE)=0,"",VLOOKUP($A126,'Pre-Assessment Estimator'!$A$10:$Z$226,Z$2,FALSE))</f>
        <v/>
      </c>
      <c r="AA126" s="696">
        <v>116</v>
      </c>
      <c r="AB126" s="577"/>
      <c r="AF126" s="386">
        <f t="shared" si="2"/>
        <v>1</v>
      </c>
    </row>
    <row r="127" spans="1:32" x14ac:dyDescent="0.25">
      <c r="A127" s="823">
        <v>118</v>
      </c>
      <c r="B127" s="1234" t="s">
        <v>68</v>
      </c>
      <c r="C127" s="1234"/>
      <c r="D127" s="1257" t="str">
        <f>VLOOKUP($A127,'Pre-Assessment Estimator'!$A$10:$Z$226,D$2,FALSE)</f>
        <v>Mat 03</v>
      </c>
      <c r="E127" s="1258" t="str">
        <f>VLOOKUP($A127,'Pre-Assessment Estimator'!$A$10:$Z$226,E$2,FALSE)</f>
        <v>Minimum req: legal and sustainable timber</v>
      </c>
      <c r="F127" s="574" t="str">
        <f>VLOOKUP($A127,'Pre-Assessment Estimator'!$A$10:$Z$226,F$2,FALSE)</f>
        <v>Yes/No</v>
      </c>
      <c r="G127" s="580" t="str">
        <f>IF(VLOOKUP($A127,'Pre-Assessment Estimator'!$A$10:$Z$226,G$2,FALSE)=0,"",VLOOKUP($A127,'Pre-Assessment Estimator'!$A$10:$Z$226,G$2,FALSE))</f>
        <v/>
      </c>
      <c r="H127" s="1220" t="str">
        <f>VLOOKUP($A127,'Pre-Assessment Estimator'!$A$10:$Z$226,H$2,FALSE)</f>
        <v>-</v>
      </c>
      <c r="I127" s="576" t="str">
        <f>VLOOKUP($A127,'Pre-Assessment Estimator'!$A$10:$Z$226,I$2,FALSE)</f>
        <v>Unclassified</v>
      </c>
      <c r="J127" s="577" t="str">
        <f>IF(VLOOKUP($A127,'Pre-Assessment Estimator'!$A$10:$Z$226,J$2,FALSE)=0,"",VLOOKUP($A127,'Pre-Assessment Estimator'!$A$10:$Z$226,J$2,FALSE))</f>
        <v/>
      </c>
      <c r="K127" s="577" t="str">
        <f>IF(VLOOKUP($A127,'Pre-Assessment Estimator'!$A$10:$Z$226,K$2,FALSE)=0,"",VLOOKUP($A127,'Pre-Assessment Estimator'!$A$10:$Z$226,K$2,FALSE))</f>
        <v/>
      </c>
      <c r="L127" s="578" t="str">
        <f>IF(VLOOKUP($A127,'Pre-Assessment Estimator'!$A$10:$Z$226,L$2,FALSE)=0,"",VLOOKUP($A127,'Pre-Assessment Estimator'!$A$10:$Z$226,L$2,FALSE))</f>
        <v/>
      </c>
      <c r="M127" s="579"/>
      <c r="N127" s="580" t="str">
        <f>IF(VLOOKUP($A127,'Pre-Assessment Estimator'!$A$10:$Z$226,N$2,FALSE)=0,"",VLOOKUP($A127,'Pre-Assessment Estimator'!$A$10:$Z$226,N$2,FALSE))</f>
        <v/>
      </c>
      <c r="O127" s="575" t="str">
        <f>VLOOKUP($A127,'Pre-Assessment Estimator'!$A$10:$Z$226,O$2,FALSE)</f>
        <v>-</v>
      </c>
      <c r="P127" s="574" t="str">
        <f>VLOOKUP($A127,'Pre-Assessment Estimator'!$A$10:$Z$226,P$2,FALSE)</f>
        <v>Unclassified</v>
      </c>
      <c r="Q127" s="577" t="str">
        <f>IF(VLOOKUP($A127,'Pre-Assessment Estimator'!$A$10:$Z$226,Q$2,FALSE)=0,"",VLOOKUP($A127,'Pre-Assessment Estimator'!$A$10:$Z$226,Q$2,FALSE))</f>
        <v/>
      </c>
      <c r="R127" s="577" t="str">
        <f>IF(VLOOKUP($A127,'Pre-Assessment Estimator'!$A$10:$Z$226,R$2,FALSE)=0,"",VLOOKUP($A127,'Pre-Assessment Estimator'!$A$10:$Z$226,R$2,FALSE))</f>
        <v/>
      </c>
      <c r="S127" s="578" t="str">
        <f>IF(VLOOKUP($A127,'Pre-Assessment Estimator'!$A$10:$Z$226,S$2,FALSE)=0,"",VLOOKUP($A127,'Pre-Assessment Estimator'!$A$10:$Z$226,S$2,FALSE))</f>
        <v/>
      </c>
      <c r="T127" s="581"/>
      <c r="U127" s="580" t="str">
        <f>IF(VLOOKUP($A127,'Pre-Assessment Estimator'!$A$10:$Z$226,U$2,FALSE)=0,"",VLOOKUP($A127,'Pre-Assessment Estimator'!$A$10:$Z$226,U$2,FALSE))</f>
        <v/>
      </c>
      <c r="V127" s="575" t="str">
        <f>VLOOKUP($A127,'Pre-Assessment Estimator'!$A$10:$Z$226,V$2,FALSE)</f>
        <v>-</v>
      </c>
      <c r="W127" s="574" t="str">
        <f>VLOOKUP($A127,'Pre-Assessment Estimator'!$A$10:$Z$226,W$2,FALSE)</f>
        <v>Unclassified</v>
      </c>
      <c r="X127" s="577" t="str">
        <f>IF(VLOOKUP($A127,'Pre-Assessment Estimator'!$A$10:$Z$226,X$2,FALSE)=0,"",VLOOKUP($A127,'Pre-Assessment Estimator'!$A$10:$Z$226,X$2,FALSE))</f>
        <v/>
      </c>
      <c r="Y127" s="577" t="str">
        <f>IF(VLOOKUP($A127,'Pre-Assessment Estimator'!$A$10:$Z$226,Y$2,FALSE)=0,"",VLOOKUP($A127,'Pre-Assessment Estimator'!$A$10:$Z$226,Y$2,FALSE))</f>
        <v/>
      </c>
      <c r="Z127" s="370" t="str">
        <f>IF(VLOOKUP($A127,'Pre-Assessment Estimator'!$A$10:$Z$226,Z$2,FALSE)=0,"",VLOOKUP($A127,'Pre-Assessment Estimator'!$A$10:$Z$226,Z$2,FALSE))</f>
        <v/>
      </c>
      <c r="AA127" s="696">
        <v>117</v>
      </c>
      <c r="AB127" s="577"/>
      <c r="AF127" s="386">
        <f t="shared" si="2"/>
        <v>1</v>
      </c>
    </row>
    <row r="128" spans="1:32" x14ac:dyDescent="0.25">
      <c r="A128" s="823">
        <v>119</v>
      </c>
      <c r="B128" s="1234" t="s">
        <v>68</v>
      </c>
      <c r="C128" s="1234"/>
      <c r="D128" s="1257" t="str">
        <f>VLOOKUP($A128,'Pre-Assessment Estimator'!$A$10:$Z$226,D$2,FALSE)</f>
        <v>Mat 03</v>
      </c>
      <c r="E128" s="1258" t="str">
        <f>VLOOKUP($A128,'Pre-Assessment Estimator'!$A$10:$Z$226,E$2,FALSE)</f>
        <v>Enabling sustainable procurement</v>
      </c>
      <c r="F128" s="574">
        <f>VLOOKUP($A128,'Pre-Assessment Estimator'!$A$10:$Z$226,F$2,FALSE)</f>
        <v>1</v>
      </c>
      <c r="G128" s="580" t="str">
        <f>IF(VLOOKUP($A128,'Pre-Assessment Estimator'!$A$10:$Z$226,G$2,FALSE)=0,"",VLOOKUP($A128,'Pre-Assessment Estimator'!$A$10:$Z$226,G$2,FALSE))</f>
        <v/>
      </c>
      <c r="H128" s="1220">
        <f>VLOOKUP($A128,'Pre-Assessment Estimator'!$A$10:$Z$226,H$2,FALSE)</f>
        <v>0</v>
      </c>
      <c r="I128" s="576" t="str">
        <f>VLOOKUP($A128,'Pre-Assessment Estimator'!$A$10:$Z$226,I$2,FALSE)</f>
        <v>N/A</v>
      </c>
      <c r="J128" s="577" t="str">
        <f>IF(VLOOKUP($A128,'Pre-Assessment Estimator'!$A$10:$Z$226,J$2,FALSE)=0,"",VLOOKUP($A128,'Pre-Assessment Estimator'!$A$10:$Z$226,J$2,FALSE))</f>
        <v/>
      </c>
      <c r="K128" s="577" t="str">
        <f>IF(VLOOKUP($A128,'Pre-Assessment Estimator'!$A$10:$Z$226,K$2,FALSE)=0,"",VLOOKUP($A128,'Pre-Assessment Estimator'!$A$10:$Z$226,K$2,FALSE))</f>
        <v/>
      </c>
      <c r="L128" s="578" t="str">
        <f>IF(VLOOKUP($A128,'Pre-Assessment Estimator'!$A$10:$Z$226,L$2,FALSE)=0,"",VLOOKUP($A128,'Pre-Assessment Estimator'!$A$10:$Z$226,L$2,FALSE))</f>
        <v/>
      </c>
      <c r="M128" s="579"/>
      <c r="N128" s="580" t="str">
        <f>IF(VLOOKUP($A128,'Pre-Assessment Estimator'!$A$10:$Z$226,N$2,FALSE)=0,"",VLOOKUP($A128,'Pre-Assessment Estimator'!$A$10:$Z$226,N$2,FALSE))</f>
        <v/>
      </c>
      <c r="O128" s="575">
        <f>VLOOKUP($A128,'Pre-Assessment Estimator'!$A$10:$Z$226,O$2,FALSE)</f>
        <v>0</v>
      </c>
      <c r="P128" s="574" t="str">
        <f>VLOOKUP($A128,'Pre-Assessment Estimator'!$A$10:$Z$226,P$2,FALSE)</f>
        <v>N/A</v>
      </c>
      <c r="Q128" s="577" t="str">
        <f>IF(VLOOKUP($A128,'Pre-Assessment Estimator'!$A$10:$Z$226,Q$2,FALSE)=0,"",VLOOKUP($A128,'Pre-Assessment Estimator'!$A$10:$Z$226,Q$2,FALSE))</f>
        <v/>
      </c>
      <c r="R128" s="577" t="str">
        <f>IF(VLOOKUP($A128,'Pre-Assessment Estimator'!$A$10:$Z$226,R$2,FALSE)=0,"",VLOOKUP($A128,'Pre-Assessment Estimator'!$A$10:$Z$226,R$2,FALSE))</f>
        <v/>
      </c>
      <c r="S128" s="578" t="str">
        <f>IF(VLOOKUP($A128,'Pre-Assessment Estimator'!$A$10:$Z$226,S$2,FALSE)=0,"",VLOOKUP($A128,'Pre-Assessment Estimator'!$A$10:$Z$226,S$2,FALSE))</f>
        <v/>
      </c>
      <c r="T128" s="581"/>
      <c r="U128" s="580" t="str">
        <f>IF(VLOOKUP($A128,'Pre-Assessment Estimator'!$A$10:$Z$226,U$2,FALSE)=0,"",VLOOKUP($A128,'Pre-Assessment Estimator'!$A$10:$Z$226,U$2,FALSE))</f>
        <v/>
      </c>
      <c r="V128" s="575">
        <f>VLOOKUP($A128,'Pre-Assessment Estimator'!$A$10:$Z$226,V$2,FALSE)</f>
        <v>0</v>
      </c>
      <c r="W128" s="574" t="str">
        <f>VLOOKUP($A128,'Pre-Assessment Estimator'!$A$10:$Z$226,W$2,FALSE)</f>
        <v>N/A</v>
      </c>
      <c r="X128" s="577" t="str">
        <f>IF(VLOOKUP($A128,'Pre-Assessment Estimator'!$A$10:$Z$226,X$2,FALSE)=0,"",VLOOKUP($A128,'Pre-Assessment Estimator'!$A$10:$Z$226,X$2,FALSE))</f>
        <v/>
      </c>
      <c r="Y128" s="577" t="str">
        <f>IF(VLOOKUP($A128,'Pre-Assessment Estimator'!$A$10:$Z$226,Y$2,FALSE)=0,"",VLOOKUP($A128,'Pre-Assessment Estimator'!$A$10:$Z$226,Y$2,FALSE))</f>
        <v/>
      </c>
      <c r="Z128" s="370" t="str">
        <f>IF(VLOOKUP($A128,'Pre-Assessment Estimator'!$A$10:$Z$226,Z$2,FALSE)=0,"",VLOOKUP($A128,'Pre-Assessment Estimator'!$A$10:$Z$226,Z$2,FALSE))</f>
        <v/>
      </c>
      <c r="AA128" s="696">
        <v>118</v>
      </c>
      <c r="AB128" s="577"/>
      <c r="AF128" s="386">
        <f t="shared" si="2"/>
        <v>1</v>
      </c>
    </row>
    <row r="129" spans="1:32" x14ac:dyDescent="0.25">
      <c r="A129" s="823">
        <v>120</v>
      </c>
      <c r="B129" s="1234" t="s">
        <v>68</v>
      </c>
      <c r="C129" s="1234"/>
      <c r="D129" s="1257" t="str">
        <f>VLOOKUP($A129,'Pre-Assessment Estimator'!$A$10:$Z$226,D$2,FALSE)</f>
        <v>Mat 03</v>
      </c>
      <c r="E129" s="1258" t="str">
        <f>VLOOKUP($A129,'Pre-Assessment Estimator'!$A$10:$Z$226,E$2,FALSE)</f>
        <v>Responsible sourcing of relevant materials</v>
      </c>
      <c r="F129" s="574">
        <f>VLOOKUP($A129,'Pre-Assessment Estimator'!$A$10:$Z$226,F$2,FALSE)</f>
        <v>2</v>
      </c>
      <c r="G129" s="580" t="str">
        <f>IF(VLOOKUP($A129,'Pre-Assessment Estimator'!$A$10:$Z$226,G$2,FALSE)=0,"",VLOOKUP($A129,'Pre-Assessment Estimator'!$A$10:$Z$226,G$2,FALSE))</f>
        <v/>
      </c>
      <c r="H129" s="1220">
        <f>VLOOKUP($A129,'Pre-Assessment Estimator'!$A$10:$Z$226,H$2,FALSE)</f>
        <v>0</v>
      </c>
      <c r="I129" s="576" t="str">
        <f>VLOOKUP($A129,'Pre-Assessment Estimator'!$A$10:$Z$226,I$2,FALSE)</f>
        <v>N/A</v>
      </c>
      <c r="J129" s="577" t="str">
        <f>IF(VLOOKUP($A129,'Pre-Assessment Estimator'!$A$10:$Z$226,J$2,FALSE)=0,"",VLOOKUP($A129,'Pre-Assessment Estimator'!$A$10:$Z$226,J$2,FALSE))</f>
        <v/>
      </c>
      <c r="K129" s="577" t="str">
        <f>IF(VLOOKUP($A129,'Pre-Assessment Estimator'!$A$10:$Z$226,K$2,FALSE)=0,"",VLOOKUP($A129,'Pre-Assessment Estimator'!$A$10:$Z$226,K$2,FALSE))</f>
        <v/>
      </c>
      <c r="L129" s="578" t="str">
        <f>IF(VLOOKUP($A129,'Pre-Assessment Estimator'!$A$10:$Z$226,L$2,FALSE)=0,"",VLOOKUP($A129,'Pre-Assessment Estimator'!$A$10:$Z$226,L$2,FALSE))</f>
        <v/>
      </c>
      <c r="M129" s="579"/>
      <c r="N129" s="580" t="str">
        <f>IF(VLOOKUP($A129,'Pre-Assessment Estimator'!$A$10:$Z$226,N$2,FALSE)=0,"",VLOOKUP($A129,'Pre-Assessment Estimator'!$A$10:$Z$226,N$2,FALSE))</f>
        <v/>
      </c>
      <c r="O129" s="575">
        <f>VLOOKUP($A129,'Pre-Assessment Estimator'!$A$10:$Z$226,O$2,FALSE)</f>
        <v>0</v>
      </c>
      <c r="P129" s="574" t="str">
        <f>VLOOKUP($A129,'Pre-Assessment Estimator'!$A$10:$Z$226,P$2,FALSE)</f>
        <v>N/A</v>
      </c>
      <c r="Q129" s="577" t="str">
        <f>IF(VLOOKUP($A129,'Pre-Assessment Estimator'!$A$10:$Z$226,Q$2,FALSE)=0,"",VLOOKUP($A129,'Pre-Assessment Estimator'!$A$10:$Z$226,Q$2,FALSE))</f>
        <v/>
      </c>
      <c r="R129" s="577" t="str">
        <f>IF(VLOOKUP($A129,'Pre-Assessment Estimator'!$A$10:$Z$226,R$2,FALSE)=0,"",VLOOKUP($A129,'Pre-Assessment Estimator'!$A$10:$Z$226,R$2,FALSE))</f>
        <v/>
      </c>
      <c r="S129" s="578" t="str">
        <f>IF(VLOOKUP($A129,'Pre-Assessment Estimator'!$A$10:$Z$226,S$2,FALSE)=0,"",VLOOKUP($A129,'Pre-Assessment Estimator'!$A$10:$Z$226,S$2,FALSE))</f>
        <v/>
      </c>
      <c r="T129" s="581"/>
      <c r="U129" s="580" t="str">
        <f>IF(VLOOKUP($A129,'Pre-Assessment Estimator'!$A$10:$Z$226,U$2,FALSE)=0,"",VLOOKUP($A129,'Pre-Assessment Estimator'!$A$10:$Z$226,U$2,FALSE))</f>
        <v/>
      </c>
      <c r="V129" s="575">
        <f>VLOOKUP($A129,'Pre-Assessment Estimator'!$A$10:$Z$226,V$2,FALSE)</f>
        <v>0</v>
      </c>
      <c r="W129" s="574" t="str">
        <f>VLOOKUP($A129,'Pre-Assessment Estimator'!$A$10:$Z$226,W$2,FALSE)</f>
        <v>N/A</v>
      </c>
      <c r="X129" s="577" t="str">
        <f>IF(VLOOKUP($A129,'Pre-Assessment Estimator'!$A$10:$Z$226,X$2,FALSE)=0,"",VLOOKUP($A129,'Pre-Assessment Estimator'!$A$10:$Z$226,X$2,FALSE))</f>
        <v/>
      </c>
      <c r="Y129" s="577" t="str">
        <f>IF(VLOOKUP($A129,'Pre-Assessment Estimator'!$A$10:$Z$226,Y$2,FALSE)=0,"",VLOOKUP($A129,'Pre-Assessment Estimator'!$A$10:$Z$226,Y$2,FALSE))</f>
        <v/>
      </c>
      <c r="Z129" s="370" t="str">
        <f>IF(VLOOKUP($A129,'Pre-Assessment Estimator'!$A$10:$Z$226,Z$2,FALSE)=0,"",VLOOKUP($A129,'Pre-Assessment Estimator'!$A$10:$Z$226,Z$2,FALSE))</f>
        <v/>
      </c>
      <c r="AA129" s="696">
        <v>119</v>
      </c>
      <c r="AB129" s="577"/>
      <c r="AF129" s="386">
        <f t="shared" si="2"/>
        <v>1</v>
      </c>
    </row>
    <row r="130" spans="1:32" x14ac:dyDescent="0.25">
      <c r="A130" s="823">
        <v>121</v>
      </c>
      <c r="B130" s="1234" t="s">
        <v>68</v>
      </c>
      <c r="C130" s="1234"/>
      <c r="D130" s="1256" t="str">
        <f>VLOOKUP($A130,'Pre-Assessment Estimator'!$A$10:$Z$226,D$2,FALSE)</f>
        <v>Mat 05</v>
      </c>
      <c r="E130" s="1256" t="str">
        <f>VLOOKUP($A130,'Pre-Assessment Estimator'!$A$10:$Z$226,E$2,FALSE)</f>
        <v>Mat 05 Designing for durability and climate adaption</v>
      </c>
      <c r="F130" s="574">
        <f>VLOOKUP($A130,'Pre-Assessment Estimator'!$A$10:$Z$226,F$2,FALSE)</f>
        <v>4</v>
      </c>
      <c r="G130" s="580" t="str">
        <f>IF(VLOOKUP($A130,'Pre-Assessment Estimator'!$A$10:$Z$226,G$2,FALSE)=0,"",VLOOKUP($A130,'Pre-Assessment Estimator'!$A$10:$Z$226,G$2,FALSE))</f>
        <v/>
      </c>
      <c r="H130" s="1220" t="str">
        <f>VLOOKUP($A130,'Pre-Assessment Estimator'!$A$10:$Z$226,H$2,FALSE)</f>
        <v>0 c. 0 %</v>
      </c>
      <c r="I130" s="576" t="str">
        <f>VLOOKUP($A130,'Pre-Assessment Estimator'!$A$10:$Z$226,I$2,FALSE)</f>
        <v>N/A</v>
      </c>
      <c r="J130" s="577" t="str">
        <f>IF(VLOOKUP($A130,'Pre-Assessment Estimator'!$A$10:$Z$226,J$2,FALSE)=0,"",VLOOKUP($A130,'Pre-Assessment Estimator'!$A$10:$Z$226,J$2,FALSE))</f>
        <v/>
      </c>
      <c r="K130" s="577" t="str">
        <f>IF(VLOOKUP($A130,'Pre-Assessment Estimator'!$A$10:$Z$226,K$2,FALSE)=0,"",VLOOKUP($A130,'Pre-Assessment Estimator'!$A$10:$Z$226,K$2,FALSE))</f>
        <v/>
      </c>
      <c r="L130" s="578" t="str">
        <f>IF(VLOOKUP($A130,'Pre-Assessment Estimator'!$A$10:$Z$226,L$2,FALSE)=0,"",VLOOKUP($A130,'Pre-Assessment Estimator'!$A$10:$Z$226,L$2,FALSE))</f>
        <v/>
      </c>
      <c r="M130" s="579"/>
      <c r="N130" s="580" t="str">
        <f>IF(VLOOKUP($A130,'Pre-Assessment Estimator'!$A$10:$Z$226,N$2,FALSE)=0,"",VLOOKUP($A130,'Pre-Assessment Estimator'!$A$10:$Z$226,N$2,FALSE))</f>
        <v/>
      </c>
      <c r="O130" s="575" t="str">
        <f>VLOOKUP($A130,'Pre-Assessment Estimator'!$A$10:$Z$226,O$2,FALSE)</f>
        <v>0 c. 0 %</v>
      </c>
      <c r="P130" s="574" t="str">
        <f>VLOOKUP($A130,'Pre-Assessment Estimator'!$A$10:$Z$226,P$2,FALSE)</f>
        <v>N/A</v>
      </c>
      <c r="Q130" s="577" t="str">
        <f>IF(VLOOKUP($A130,'Pre-Assessment Estimator'!$A$10:$Z$226,Q$2,FALSE)=0,"",VLOOKUP($A130,'Pre-Assessment Estimator'!$A$10:$Z$226,Q$2,FALSE))</f>
        <v/>
      </c>
      <c r="R130" s="577" t="str">
        <f>IF(VLOOKUP($A130,'Pre-Assessment Estimator'!$A$10:$Z$226,R$2,FALSE)=0,"",VLOOKUP($A130,'Pre-Assessment Estimator'!$A$10:$Z$226,R$2,FALSE))</f>
        <v/>
      </c>
      <c r="S130" s="578" t="str">
        <f>IF(VLOOKUP($A130,'Pre-Assessment Estimator'!$A$10:$Z$226,S$2,FALSE)=0,"",VLOOKUP($A130,'Pre-Assessment Estimator'!$A$10:$Z$226,S$2,FALSE))</f>
        <v/>
      </c>
      <c r="T130" s="581"/>
      <c r="U130" s="580" t="str">
        <f>IF(VLOOKUP($A130,'Pre-Assessment Estimator'!$A$10:$Z$226,U$2,FALSE)=0,"",VLOOKUP($A130,'Pre-Assessment Estimator'!$A$10:$Z$226,U$2,FALSE))</f>
        <v/>
      </c>
      <c r="V130" s="575" t="str">
        <f>VLOOKUP($A130,'Pre-Assessment Estimator'!$A$10:$Z$226,V$2,FALSE)</f>
        <v>0 c. 0 %</v>
      </c>
      <c r="W130" s="574" t="str">
        <f>VLOOKUP($A130,'Pre-Assessment Estimator'!$A$10:$Z$226,W$2,FALSE)</f>
        <v>N/A</v>
      </c>
      <c r="X130" s="577" t="str">
        <f>IF(VLOOKUP($A130,'Pre-Assessment Estimator'!$A$10:$Z$226,X$2,FALSE)=0,"",VLOOKUP($A130,'Pre-Assessment Estimator'!$A$10:$Z$226,X$2,FALSE))</f>
        <v/>
      </c>
      <c r="Y130" s="577" t="str">
        <f>IF(VLOOKUP($A130,'Pre-Assessment Estimator'!$A$10:$Z$226,Y$2,FALSE)=0,"",VLOOKUP($A130,'Pre-Assessment Estimator'!$A$10:$Z$226,Y$2,FALSE))</f>
        <v/>
      </c>
      <c r="Z130" s="370" t="str">
        <f>IF(VLOOKUP($A130,'Pre-Assessment Estimator'!$A$10:$Z$226,Z$2,FALSE)=0,"",VLOOKUP($A130,'Pre-Assessment Estimator'!$A$10:$Z$226,Z$2,FALSE))</f>
        <v/>
      </c>
      <c r="AA130" s="696">
        <v>120</v>
      </c>
      <c r="AB130" s="577"/>
      <c r="AF130" s="386">
        <f t="shared" si="2"/>
        <v>1</v>
      </c>
    </row>
    <row r="131" spans="1:32" x14ac:dyDescent="0.25">
      <c r="A131" s="823">
        <v>122</v>
      </c>
      <c r="B131" s="1234" t="s">
        <v>68</v>
      </c>
      <c r="C131" s="1234"/>
      <c r="D131" s="1257" t="str">
        <f>VLOOKUP($A131,'Pre-Assessment Estimator'!$A$10:$Z$226,D$2,FALSE)</f>
        <v>Mat 05</v>
      </c>
      <c r="E131" s="1258" t="str">
        <f>VLOOKUP($A131,'Pre-Assessment Estimator'!$A$10:$Z$226,E$2,FALSE)</f>
        <v>Pre-requisite: risk analysis</v>
      </c>
      <c r="F131" s="574" t="str">
        <f>VLOOKUP($A131,'Pre-Assessment Estimator'!$A$10:$Z$226,F$2,FALSE)</f>
        <v>Yes/No</v>
      </c>
      <c r="G131" s="580" t="str">
        <f>IF(VLOOKUP($A131,'Pre-Assessment Estimator'!$A$10:$Z$226,G$2,FALSE)=0,"",VLOOKUP($A131,'Pre-Assessment Estimator'!$A$10:$Z$226,G$2,FALSE))</f>
        <v/>
      </c>
      <c r="H131" s="1220" t="str">
        <f>VLOOKUP($A131,'Pre-Assessment Estimator'!$A$10:$Z$226,H$2,FALSE)</f>
        <v>-</v>
      </c>
      <c r="I131" s="576" t="str">
        <f>VLOOKUP($A131,'Pre-Assessment Estimator'!$A$10:$Z$226,I$2,FALSE)</f>
        <v>N/A</v>
      </c>
      <c r="J131" s="577" t="str">
        <f>IF(VLOOKUP($A131,'Pre-Assessment Estimator'!$A$10:$Z$226,J$2,FALSE)=0,"",VLOOKUP($A131,'Pre-Assessment Estimator'!$A$10:$Z$226,J$2,FALSE))</f>
        <v/>
      </c>
      <c r="K131" s="577" t="str">
        <f>IF(VLOOKUP($A131,'Pre-Assessment Estimator'!$A$10:$Z$226,K$2,FALSE)=0,"",VLOOKUP($A131,'Pre-Assessment Estimator'!$A$10:$Z$226,K$2,FALSE))</f>
        <v/>
      </c>
      <c r="L131" s="578" t="str">
        <f>IF(VLOOKUP($A131,'Pre-Assessment Estimator'!$A$10:$Z$226,L$2,FALSE)=0,"",VLOOKUP($A131,'Pre-Assessment Estimator'!$A$10:$Z$226,L$2,FALSE))</f>
        <v/>
      </c>
      <c r="M131" s="579"/>
      <c r="N131" s="580" t="str">
        <f>IF(VLOOKUP($A131,'Pre-Assessment Estimator'!$A$10:$Z$226,N$2,FALSE)=0,"",VLOOKUP($A131,'Pre-Assessment Estimator'!$A$10:$Z$226,N$2,FALSE))</f>
        <v/>
      </c>
      <c r="O131" s="575" t="str">
        <f>VLOOKUP($A131,'Pre-Assessment Estimator'!$A$10:$Z$226,O$2,FALSE)</f>
        <v>-</v>
      </c>
      <c r="P131" s="574" t="str">
        <f>VLOOKUP($A131,'Pre-Assessment Estimator'!$A$10:$Z$226,P$2,FALSE)</f>
        <v>N/A</v>
      </c>
      <c r="Q131" s="577" t="str">
        <f>IF(VLOOKUP($A131,'Pre-Assessment Estimator'!$A$10:$Z$226,Q$2,FALSE)=0,"",VLOOKUP($A131,'Pre-Assessment Estimator'!$A$10:$Z$226,Q$2,FALSE))</f>
        <v/>
      </c>
      <c r="R131" s="577" t="str">
        <f>IF(VLOOKUP($A131,'Pre-Assessment Estimator'!$A$10:$Z$226,R$2,FALSE)=0,"",VLOOKUP($A131,'Pre-Assessment Estimator'!$A$10:$Z$226,R$2,FALSE))</f>
        <v/>
      </c>
      <c r="S131" s="578" t="str">
        <f>IF(VLOOKUP($A131,'Pre-Assessment Estimator'!$A$10:$Z$226,S$2,FALSE)=0,"",VLOOKUP($A131,'Pre-Assessment Estimator'!$A$10:$Z$226,S$2,FALSE))</f>
        <v/>
      </c>
      <c r="T131" s="581"/>
      <c r="U131" s="580" t="str">
        <f>IF(VLOOKUP($A131,'Pre-Assessment Estimator'!$A$10:$Z$226,U$2,FALSE)=0,"",VLOOKUP($A131,'Pre-Assessment Estimator'!$A$10:$Z$226,U$2,FALSE))</f>
        <v/>
      </c>
      <c r="V131" s="575" t="str">
        <f>VLOOKUP($A131,'Pre-Assessment Estimator'!$A$10:$Z$226,V$2,FALSE)</f>
        <v>-</v>
      </c>
      <c r="W131" s="574" t="str">
        <f>VLOOKUP($A131,'Pre-Assessment Estimator'!$A$10:$Z$226,W$2,FALSE)</f>
        <v>N/A</v>
      </c>
      <c r="X131" s="577" t="str">
        <f>IF(VLOOKUP($A131,'Pre-Assessment Estimator'!$A$10:$Z$226,X$2,FALSE)=0,"",VLOOKUP($A131,'Pre-Assessment Estimator'!$A$10:$Z$226,X$2,FALSE))</f>
        <v/>
      </c>
      <c r="Y131" s="577" t="str">
        <f>IF(VLOOKUP($A131,'Pre-Assessment Estimator'!$A$10:$Z$226,Y$2,FALSE)=0,"",VLOOKUP($A131,'Pre-Assessment Estimator'!$A$10:$Z$226,Y$2,FALSE))</f>
        <v/>
      </c>
      <c r="Z131" s="370" t="str">
        <f>IF(VLOOKUP($A131,'Pre-Assessment Estimator'!$A$10:$Z$226,Z$2,FALSE)=0,"",VLOOKUP($A131,'Pre-Assessment Estimator'!$A$10:$Z$226,Z$2,FALSE))</f>
        <v/>
      </c>
      <c r="AA131" s="696">
        <v>121</v>
      </c>
      <c r="AB131" s="577"/>
      <c r="AF131" s="386">
        <f t="shared" si="2"/>
        <v>1</v>
      </c>
    </row>
    <row r="132" spans="1:32" x14ac:dyDescent="0.25">
      <c r="A132" s="823">
        <v>123</v>
      </c>
      <c r="B132" s="1234" t="s">
        <v>68</v>
      </c>
      <c r="C132" s="1234"/>
      <c r="D132" s="1257" t="str">
        <f>VLOOKUP($A132,'Pre-Assessment Estimator'!$A$10:$Z$226,D$2,FALSE)</f>
        <v>Mat 05</v>
      </c>
      <c r="E132" s="1258" t="str">
        <f>VLOOKUP($A132,'Pre-Assessment Estimator'!$A$10:$Z$226,E$2,FALSE)</f>
        <v>Protect vulnerable parts of the building from damage</v>
      </c>
      <c r="F132" s="574">
        <f>VLOOKUP($A132,'Pre-Assessment Estimator'!$A$10:$Z$226,F$2,FALSE)</f>
        <v>1</v>
      </c>
      <c r="G132" s="580" t="str">
        <f>IF(VLOOKUP($A132,'Pre-Assessment Estimator'!$A$10:$Z$226,G$2,FALSE)=0,"",VLOOKUP($A132,'Pre-Assessment Estimator'!$A$10:$Z$226,G$2,FALSE))</f>
        <v/>
      </c>
      <c r="H132" s="1220">
        <f>VLOOKUP($A132,'Pre-Assessment Estimator'!$A$10:$Z$226,H$2,FALSE)</f>
        <v>0</v>
      </c>
      <c r="I132" s="576" t="str">
        <f>VLOOKUP($A132,'Pre-Assessment Estimator'!$A$10:$Z$226,I$2,FALSE)</f>
        <v>N/A</v>
      </c>
      <c r="J132" s="577" t="str">
        <f>IF(VLOOKUP($A132,'Pre-Assessment Estimator'!$A$10:$Z$226,J$2,FALSE)=0,"",VLOOKUP($A132,'Pre-Assessment Estimator'!$A$10:$Z$226,J$2,FALSE))</f>
        <v/>
      </c>
      <c r="K132" s="577" t="str">
        <f>IF(VLOOKUP($A132,'Pre-Assessment Estimator'!$A$10:$Z$226,K$2,FALSE)=0,"",VLOOKUP($A132,'Pre-Assessment Estimator'!$A$10:$Z$226,K$2,FALSE))</f>
        <v/>
      </c>
      <c r="L132" s="578" t="str">
        <f>IF(VLOOKUP($A132,'Pre-Assessment Estimator'!$A$10:$Z$226,L$2,FALSE)=0,"",VLOOKUP($A132,'Pre-Assessment Estimator'!$A$10:$Z$226,L$2,FALSE))</f>
        <v/>
      </c>
      <c r="M132" s="579"/>
      <c r="N132" s="580" t="str">
        <f>IF(VLOOKUP($A132,'Pre-Assessment Estimator'!$A$10:$Z$226,N$2,FALSE)=0,"",VLOOKUP($A132,'Pre-Assessment Estimator'!$A$10:$Z$226,N$2,FALSE))</f>
        <v/>
      </c>
      <c r="O132" s="575">
        <f>VLOOKUP($A132,'Pre-Assessment Estimator'!$A$10:$Z$226,O$2,FALSE)</f>
        <v>0</v>
      </c>
      <c r="P132" s="574" t="str">
        <f>VLOOKUP($A132,'Pre-Assessment Estimator'!$A$10:$Z$226,P$2,FALSE)</f>
        <v>N/A</v>
      </c>
      <c r="Q132" s="577" t="str">
        <f>IF(VLOOKUP($A132,'Pre-Assessment Estimator'!$A$10:$Z$226,Q$2,FALSE)=0,"",VLOOKUP($A132,'Pre-Assessment Estimator'!$A$10:$Z$226,Q$2,FALSE))</f>
        <v/>
      </c>
      <c r="R132" s="577" t="str">
        <f>IF(VLOOKUP($A132,'Pre-Assessment Estimator'!$A$10:$Z$226,R$2,FALSE)=0,"",VLOOKUP($A132,'Pre-Assessment Estimator'!$A$10:$Z$226,R$2,FALSE))</f>
        <v/>
      </c>
      <c r="S132" s="578" t="str">
        <f>IF(VLOOKUP($A132,'Pre-Assessment Estimator'!$A$10:$Z$226,S$2,FALSE)=0,"",VLOOKUP($A132,'Pre-Assessment Estimator'!$A$10:$Z$226,S$2,FALSE))</f>
        <v/>
      </c>
      <c r="T132" s="581"/>
      <c r="U132" s="580" t="str">
        <f>IF(VLOOKUP($A132,'Pre-Assessment Estimator'!$A$10:$Z$226,U$2,FALSE)=0,"",VLOOKUP($A132,'Pre-Assessment Estimator'!$A$10:$Z$226,U$2,FALSE))</f>
        <v/>
      </c>
      <c r="V132" s="575">
        <f>VLOOKUP($A132,'Pre-Assessment Estimator'!$A$10:$Z$226,V$2,FALSE)</f>
        <v>0</v>
      </c>
      <c r="W132" s="574" t="str">
        <f>VLOOKUP($A132,'Pre-Assessment Estimator'!$A$10:$Z$226,W$2,FALSE)</f>
        <v>N/A</v>
      </c>
      <c r="X132" s="577" t="str">
        <f>IF(VLOOKUP($A132,'Pre-Assessment Estimator'!$A$10:$Z$226,X$2,FALSE)=0,"",VLOOKUP($A132,'Pre-Assessment Estimator'!$A$10:$Z$226,X$2,FALSE))</f>
        <v/>
      </c>
      <c r="Y132" s="577" t="str">
        <f>IF(VLOOKUP($A132,'Pre-Assessment Estimator'!$A$10:$Z$226,Y$2,FALSE)=0,"",VLOOKUP($A132,'Pre-Assessment Estimator'!$A$10:$Z$226,Y$2,FALSE))</f>
        <v/>
      </c>
      <c r="Z132" s="370" t="str">
        <f>IF(VLOOKUP($A132,'Pre-Assessment Estimator'!$A$10:$Z$226,Z$2,FALSE)=0,"",VLOOKUP($A132,'Pre-Assessment Estimator'!$A$10:$Z$226,Z$2,FALSE))</f>
        <v/>
      </c>
      <c r="AA132" s="696">
        <v>122</v>
      </c>
      <c r="AB132" s="577"/>
      <c r="AF132" s="386">
        <f t="shared" si="2"/>
        <v>1</v>
      </c>
    </row>
    <row r="133" spans="1:32" x14ac:dyDescent="0.25">
      <c r="A133" s="823">
        <v>124</v>
      </c>
      <c r="B133" s="1234" t="s">
        <v>68</v>
      </c>
      <c r="C133" s="1234"/>
      <c r="D133" s="1257" t="str">
        <f>VLOOKUP($A133,'Pre-Assessment Estimator'!$A$10:$Z$226,D$2,FALSE)</f>
        <v>Mat 05</v>
      </c>
      <c r="E133" s="1258" t="str">
        <f>VLOOKUP($A133,'Pre-Assessment Estimator'!$A$10:$Z$226,E$2,FALSE)</f>
        <v xml:space="preserve">Protecting exposed parts of the building from material degradation </v>
      </c>
      <c r="F133" s="574">
        <f>VLOOKUP($A133,'Pre-Assessment Estimator'!$A$10:$Z$226,F$2,FALSE)</f>
        <v>1</v>
      </c>
      <c r="G133" s="580" t="str">
        <f>IF(VLOOKUP($A133,'Pre-Assessment Estimator'!$A$10:$Z$226,G$2,FALSE)=0,"",VLOOKUP($A133,'Pre-Assessment Estimator'!$A$10:$Z$226,G$2,FALSE))</f>
        <v/>
      </c>
      <c r="H133" s="1220">
        <f>VLOOKUP($A133,'Pre-Assessment Estimator'!$A$10:$Z$226,H$2,FALSE)</f>
        <v>0</v>
      </c>
      <c r="I133" s="576" t="str">
        <f>VLOOKUP($A133,'Pre-Assessment Estimator'!$A$10:$Z$226,I$2,FALSE)</f>
        <v>N/A</v>
      </c>
      <c r="J133" s="577" t="str">
        <f>IF(VLOOKUP($A133,'Pre-Assessment Estimator'!$A$10:$Z$226,J$2,FALSE)=0,"",VLOOKUP($A133,'Pre-Assessment Estimator'!$A$10:$Z$226,J$2,FALSE))</f>
        <v/>
      </c>
      <c r="K133" s="577" t="str">
        <f>IF(VLOOKUP($A133,'Pre-Assessment Estimator'!$A$10:$Z$226,K$2,FALSE)=0,"",VLOOKUP($A133,'Pre-Assessment Estimator'!$A$10:$Z$226,K$2,FALSE))</f>
        <v/>
      </c>
      <c r="L133" s="578" t="str">
        <f>IF(VLOOKUP($A133,'Pre-Assessment Estimator'!$A$10:$Z$226,L$2,FALSE)=0,"",VLOOKUP($A133,'Pre-Assessment Estimator'!$A$10:$Z$226,L$2,FALSE))</f>
        <v/>
      </c>
      <c r="M133" s="579"/>
      <c r="N133" s="580" t="str">
        <f>IF(VLOOKUP($A133,'Pre-Assessment Estimator'!$A$10:$Z$226,N$2,FALSE)=0,"",VLOOKUP($A133,'Pre-Assessment Estimator'!$A$10:$Z$226,N$2,FALSE))</f>
        <v/>
      </c>
      <c r="O133" s="575">
        <f>VLOOKUP($A133,'Pre-Assessment Estimator'!$A$10:$Z$226,O$2,FALSE)</f>
        <v>0</v>
      </c>
      <c r="P133" s="574" t="str">
        <f>VLOOKUP($A133,'Pre-Assessment Estimator'!$A$10:$Z$226,P$2,FALSE)</f>
        <v>N/A</v>
      </c>
      <c r="Q133" s="577" t="str">
        <f>IF(VLOOKUP($A133,'Pre-Assessment Estimator'!$A$10:$Z$226,Q$2,FALSE)=0,"",VLOOKUP($A133,'Pre-Assessment Estimator'!$A$10:$Z$226,Q$2,FALSE))</f>
        <v/>
      </c>
      <c r="R133" s="577" t="str">
        <f>IF(VLOOKUP($A133,'Pre-Assessment Estimator'!$A$10:$Z$226,R$2,FALSE)=0,"",VLOOKUP($A133,'Pre-Assessment Estimator'!$A$10:$Z$226,R$2,FALSE))</f>
        <v/>
      </c>
      <c r="S133" s="578" t="str">
        <f>IF(VLOOKUP($A133,'Pre-Assessment Estimator'!$A$10:$Z$226,S$2,FALSE)=0,"",VLOOKUP($A133,'Pre-Assessment Estimator'!$A$10:$Z$226,S$2,FALSE))</f>
        <v/>
      </c>
      <c r="T133" s="581"/>
      <c r="U133" s="580" t="str">
        <f>IF(VLOOKUP($A133,'Pre-Assessment Estimator'!$A$10:$Z$226,U$2,FALSE)=0,"",VLOOKUP($A133,'Pre-Assessment Estimator'!$A$10:$Z$226,U$2,FALSE))</f>
        <v/>
      </c>
      <c r="V133" s="575">
        <f>VLOOKUP($A133,'Pre-Assessment Estimator'!$A$10:$Z$226,V$2,FALSE)</f>
        <v>0</v>
      </c>
      <c r="W133" s="574" t="str">
        <f>VLOOKUP($A133,'Pre-Assessment Estimator'!$A$10:$Z$226,W$2,FALSE)</f>
        <v>N/A</v>
      </c>
      <c r="X133" s="577" t="str">
        <f>IF(VLOOKUP($A133,'Pre-Assessment Estimator'!$A$10:$Z$226,X$2,FALSE)=0,"",VLOOKUP($A133,'Pre-Assessment Estimator'!$A$10:$Z$226,X$2,FALSE))</f>
        <v/>
      </c>
      <c r="Y133" s="577" t="str">
        <f>IF(VLOOKUP($A133,'Pre-Assessment Estimator'!$A$10:$Z$226,Y$2,FALSE)=0,"",VLOOKUP($A133,'Pre-Assessment Estimator'!$A$10:$Z$226,Y$2,FALSE))</f>
        <v/>
      </c>
      <c r="Z133" s="370" t="str">
        <f>IF(VLOOKUP($A133,'Pre-Assessment Estimator'!$A$10:$Z$226,Z$2,FALSE)=0,"",VLOOKUP($A133,'Pre-Assessment Estimator'!$A$10:$Z$226,Z$2,FALSE))</f>
        <v/>
      </c>
      <c r="AA133" s="696">
        <v>123</v>
      </c>
      <c r="AB133" s="577"/>
      <c r="AF133" s="386">
        <f t="shared" si="2"/>
        <v>1</v>
      </c>
    </row>
    <row r="134" spans="1:32" x14ac:dyDescent="0.25">
      <c r="A134" s="823">
        <v>125</v>
      </c>
      <c r="B134" s="1234" t="s">
        <v>68</v>
      </c>
      <c r="C134" s="1234"/>
      <c r="D134" s="1257" t="str">
        <f>VLOOKUP($A134,'Pre-Assessment Estimator'!$A$10:$Z$226,D$2,FALSE)</f>
        <v>Mat 05</v>
      </c>
      <c r="E134" s="1258" t="str">
        <f>VLOOKUP($A134,'Pre-Assessment Estimator'!$A$10:$Z$226,E$2,FALSE)</f>
        <v>Control plan and moisture measurements</v>
      </c>
      <c r="F134" s="574">
        <f>VLOOKUP($A134,'Pre-Assessment Estimator'!$A$10:$Z$226,F$2,FALSE)</f>
        <v>1</v>
      </c>
      <c r="G134" s="580" t="str">
        <f>IF(VLOOKUP($A134,'Pre-Assessment Estimator'!$A$10:$Z$226,G$2,FALSE)=0,"",VLOOKUP($A134,'Pre-Assessment Estimator'!$A$10:$Z$226,G$2,FALSE))</f>
        <v/>
      </c>
      <c r="H134" s="1220">
        <f>VLOOKUP($A134,'Pre-Assessment Estimator'!$A$10:$Z$226,H$2,FALSE)</f>
        <v>0</v>
      </c>
      <c r="I134" s="576" t="str">
        <f>VLOOKUP($A134,'Pre-Assessment Estimator'!$A$10:$Z$226,I$2,FALSE)</f>
        <v>Very Good</v>
      </c>
      <c r="J134" s="577" t="str">
        <f>IF(VLOOKUP($A134,'Pre-Assessment Estimator'!$A$10:$Z$226,J$2,FALSE)=0,"",VLOOKUP($A134,'Pre-Assessment Estimator'!$A$10:$Z$226,J$2,FALSE))</f>
        <v/>
      </c>
      <c r="K134" s="577" t="str">
        <f>IF(VLOOKUP($A134,'Pre-Assessment Estimator'!$A$10:$Z$226,K$2,FALSE)=0,"",VLOOKUP($A134,'Pre-Assessment Estimator'!$A$10:$Z$226,K$2,FALSE))</f>
        <v/>
      </c>
      <c r="L134" s="578" t="str">
        <f>IF(VLOOKUP($A134,'Pre-Assessment Estimator'!$A$10:$Z$226,L$2,FALSE)=0,"",VLOOKUP($A134,'Pre-Assessment Estimator'!$A$10:$Z$226,L$2,FALSE))</f>
        <v/>
      </c>
      <c r="M134" s="579"/>
      <c r="N134" s="580" t="str">
        <f>IF(VLOOKUP($A134,'Pre-Assessment Estimator'!$A$10:$Z$226,N$2,FALSE)=0,"",VLOOKUP($A134,'Pre-Assessment Estimator'!$A$10:$Z$226,N$2,FALSE))</f>
        <v/>
      </c>
      <c r="O134" s="575">
        <f>VLOOKUP($A134,'Pre-Assessment Estimator'!$A$10:$Z$226,O$2,FALSE)</f>
        <v>0</v>
      </c>
      <c r="P134" s="574" t="str">
        <f>VLOOKUP($A134,'Pre-Assessment Estimator'!$A$10:$Z$226,P$2,FALSE)</f>
        <v>Very Good</v>
      </c>
      <c r="Q134" s="577" t="str">
        <f>IF(VLOOKUP($A134,'Pre-Assessment Estimator'!$A$10:$Z$226,Q$2,FALSE)=0,"",VLOOKUP($A134,'Pre-Assessment Estimator'!$A$10:$Z$226,Q$2,FALSE))</f>
        <v/>
      </c>
      <c r="R134" s="577" t="str">
        <f>IF(VLOOKUP($A134,'Pre-Assessment Estimator'!$A$10:$Z$226,R$2,FALSE)=0,"",VLOOKUP($A134,'Pre-Assessment Estimator'!$A$10:$Z$226,R$2,FALSE))</f>
        <v/>
      </c>
      <c r="S134" s="578" t="str">
        <f>IF(VLOOKUP($A134,'Pre-Assessment Estimator'!$A$10:$Z$226,S$2,FALSE)=0,"",VLOOKUP($A134,'Pre-Assessment Estimator'!$A$10:$Z$226,S$2,FALSE))</f>
        <v/>
      </c>
      <c r="T134" s="581"/>
      <c r="U134" s="580" t="str">
        <f>IF(VLOOKUP($A134,'Pre-Assessment Estimator'!$A$10:$Z$226,U$2,FALSE)=0,"",VLOOKUP($A134,'Pre-Assessment Estimator'!$A$10:$Z$226,U$2,FALSE))</f>
        <v/>
      </c>
      <c r="V134" s="575">
        <f>VLOOKUP($A134,'Pre-Assessment Estimator'!$A$10:$Z$226,V$2,FALSE)</f>
        <v>0</v>
      </c>
      <c r="W134" s="574" t="str">
        <f>VLOOKUP($A134,'Pre-Assessment Estimator'!$A$10:$Z$226,W$2,FALSE)</f>
        <v>Very Good</v>
      </c>
      <c r="X134" s="577" t="str">
        <f>IF(VLOOKUP($A134,'Pre-Assessment Estimator'!$A$10:$Z$226,X$2,FALSE)=0,"",VLOOKUP($A134,'Pre-Assessment Estimator'!$A$10:$Z$226,X$2,FALSE))</f>
        <v/>
      </c>
      <c r="Y134" s="577" t="str">
        <f>IF(VLOOKUP($A134,'Pre-Assessment Estimator'!$A$10:$Z$226,Y$2,FALSE)=0,"",VLOOKUP($A134,'Pre-Assessment Estimator'!$A$10:$Z$226,Y$2,FALSE))</f>
        <v/>
      </c>
      <c r="Z134" s="370" t="str">
        <f>IF(VLOOKUP($A134,'Pre-Assessment Estimator'!$A$10:$Z$226,Z$2,FALSE)=0,"",VLOOKUP($A134,'Pre-Assessment Estimator'!$A$10:$Z$226,Z$2,FALSE))</f>
        <v/>
      </c>
      <c r="AA134" s="696">
        <v>124</v>
      </c>
      <c r="AB134" s="577"/>
      <c r="AF134" s="386">
        <f t="shared" si="2"/>
        <v>1</v>
      </c>
    </row>
    <row r="135" spans="1:32" x14ac:dyDescent="0.25">
      <c r="A135" s="823">
        <v>126</v>
      </c>
      <c r="B135" s="1234" t="s">
        <v>68</v>
      </c>
      <c r="C135" s="1234"/>
      <c r="D135" s="1257" t="str">
        <f>VLOOKUP($A135,'Pre-Assessment Estimator'!$A$10:$Z$226,D$2,FALSE)</f>
        <v>Mat 05</v>
      </c>
      <c r="E135" s="1258" t="str">
        <f>VLOOKUP($A135,'Pre-Assessment Estimator'!$A$10:$Z$226,E$2,FALSE)</f>
        <v>Construction under cover</v>
      </c>
      <c r="F135" s="574">
        <f>VLOOKUP($A135,'Pre-Assessment Estimator'!$A$10:$Z$226,F$2,FALSE)</f>
        <v>1</v>
      </c>
      <c r="G135" s="580" t="str">
        <f>IF(VLOOKUP($A135,'Pre-Assessment Estimator'!$A$10:$Z$226,G$2,FALSE)=0,"",VLOOKUP($A135,'Pre-Assessment Estimator'!$A$10:$Z$226,G$2,FALSE))</f>
        <v/>
      </c>
      <c r="H135" s="1220">
        <f>VLOOKUP($A135,'Pre-Assessment Estimator'!$A$10:$Z$226,H$2,FALSE)</f>
        <v>0</v>
      </c>
      <c r="I135" s="576" t="str">
        <f>VLOOKUP($A135,'Pre-Assessment Estimator'!$A$10:$Z$226,I$2,FALSE)</f>
        <v>N/A</v>
      </c>
      <c r="J135" s="577" t="str">
        <f>IF(VLOOKUP($A135,'Pre-Assessment Estimator'!$A$10:$Z$226,J$2,FALSE)=0,"",VLOOKUP($A135,'Pre-Assessment Estimator'!$A$10:$Z$226,J$2,FALSE))</f>
        <v/>
      </c>
      <c r="K135" s="577" t="str">
        <f>IF(VLOOKUP($A135,'Pre-Assessment Estimator'!$A$10:$Z$226,K$2,FALSE)=0,"",VLOOKUP($A135,'Pre-Assessment Estimator'!$A$10:$Z$226,K$2,FALSE))</f>
        <v/>
      </c>
      <c r="L135" s="578" t="str">
        <f>IF(VLOOKUP($A135,'Pre-Assessment Estimator'!$A$10:$Z$226,L$2,FALSE)=0,"",VLOOKUP($A135,'Pre-Assessment Estimator'!$A$10:$Z$226,L$2,FALSE))</f>
        <v/>
      </c>
      <c r="M135" s="579"/>
      <c r="N135" s="580" t="str">
        <f>IF(VLOOKUP($A135,'Pre-Assessment Estimator'!$A$10:$Z$226,N$2,FALSE)=0,"",VLOOKUP($A135,'Pre-Assessment Estimator'!$A$10:$Z$226,N$2,FALSE))</f>
        <v/>
      </c>
      <c r="O135" s="575">
        <f>VLOOKUP($A135,'Pre-Assessment Estimator'!$A$10:$Z$226,O$2,FALSE)</f>
        <v>0</v>
      </c>
      <c r="P135" s="574" t="str">
        <f>VLOOKUP($A135,'Pre-Assessment Estimator'!$A$10:$Z$226,P$2,FALSE)</f>
        <v>N/A</v>
      </c>
      <c r="Q135" s="577" t="str">
        <f>IF(VLOOKUP($A135,'Pre-Assessment Estimator'!$A$10:$Z$226,Q$2,FALSE)=0,"",VLOOKUP($A135,'Pre-Assessment Estimator'!$A$10:$Z$226,Q$2,FALSE))</f>
        <v/>
      </c>
      <c r="R135" s="577" t="str">
        <f>IF(VLOOKUP($A135,'Pre-Assessment Estimator'!$A$10:$Z$226,R$2,FALSE)=0,"",VLOOKUP($A135,'Pre-Assessment Estimator'!$A$10:$Z$226,R$2,FALSE))</f>
        <v/>
      </c>
      <c r="S135" s="578" t="str">
        <f>IF(VLOOKUP($A135,'Pre-Assessment Estimator'!$A$10:$Z$226,S$2,FALSE)=0,"",VLOOKUP($A135,'Pre-Assessment Estimator'!$A$10:$Z$226,S$2,FALSE))</f>
        <v/>
      </c>
      <c r="T135" s="581"/>
      <c r="U135" s="580" t="str">
        <f>IF(VLOOKUP($A135,'Pre-Assessment Estimator'!$A$10:$Z$226,U$2,FALSE)=0,"",VLOOKUP($A135,'Pre-Assessment Estimator'!$A$10:$Z$226,U$2,FALSE))</f>
        <v/>
      </c>
      <c r="V135" s="575">
        <f>VLOOKUP($A135,'Pre-Assessment Estimator'!$A$10:$Z$226,V$2,FALSE)</f>
        <v>0</v>
      </c>
      <c r="W135" s="574" t="str">
        <f>VLOOKUP($A135,'Pre-Assessment Estimator'!$A$10:$Z$226,W$2,FALSE)</f>
        <v>N/A</v>
      </c>
      <c r="X135" s="577" t="str">
        <f>IF(VLOOKUP($A135,'Pre-Assessment Estimator'!$A$10:$Z$226,X$2,FALSE)=0,"",VLOOKUP($A135,'Pre-Assessment Estimator'!$A$10:$Z$226,X$2,FALSE))</f>
        <v/>
      </c>
      <c r="Y135" s="577" t="str">
        <f>IF(VLOOKUP($A135,'Pre-Assessment Estimator'!$A$10:$Z$226,Y$2,FALSE)=0,"",VLOOKUP($A135,'Pre-Assessment Estimator'!$A$10:$Z$226,Y$2,FALSE))</f>
        <v/>
      </c>
      <c r="Z135" s="370" t="str">
        <f>IF(VLOOKUP($A135,'Pre-Assessment Estimator'!$A$10:$Z$226,Z$2,FALSE)=0,"",VLOOKUP($A135,'Pre-Assessment Estimator'!$A$10:$Z$226,Z$2,FALSE))</f>
        <v/>
      </c>
      <c r="AA135" s="696">
        <v>125</v>
      </c>
      <c r="AB135" s="577"/>
      <c r="AF135" s="386">
        <f t="shared" si="2"/>
        <v>1</v>
      </c>
    </row>
    <row r="136" spans="1:32" x14ac:dyDescent="0.25">
      <c r="A136" s="823">
        <v>127</v>
      </c>
      <c r="B136" s="1234" t="s">
        <v>68</v>
      </c>
      <c r="C136" s="1234"/>
      <c r="D136" s="1256" t="str">
        <f>VLOOKUP($A136,'Pre-Assessment Estimator'!$A$10:$Z$226,D$2,FALSE)</f>
        <v>Mat 06</v>
      </c>
      <c r="E136" s="1256" t="str">
        <f>VLOOKUP($A136,'Pre-Assessment Estimator'!$A$10:$Z$226,E$2,FALSE)</f>
        <v>Mat 06 Material efficiency</v>
      </c>
      <c r="F136" s="574">
        <f>VLOOKUP($A136,'Pre-Assessment Estimator'!$A$10:$Z$226,F$2,FALSE)</f>
        <v>3</v>
      </c>
      <c r="G136" s="580" t="str">
        <f>IF(VLOOKUP($A136,'Pre-Assessment Estimator'!$A$10:$Z$226,G$2,FALSE)=0,"",VLOOKUP($A136,'Pre-Assessment Estimator'!$A$10:$Z$226,G$2,FALSE))</f>
        <v/>
      </c>
      <c r="H136" s="1220" t="str">
        <f>VLOOKUP($A136,'Pre-Assessment Estimator'!$A$10:$Z$226,H$2,FALSE)</f>
        <v>0 c. 0 %</v>
      </c>
      <c r="I136" s="576" t="str">
        <f>VLOOKUP($A136,'Pre-Assessment Estimator'!$A$10:$Z$226,I$2,FALSE)</f>
        <v>N/A</v>
      </c>
      <c r="J136" s="577" t="str">
        <f>IF(VLOOKUP($A136,'Pre-Assessment Estimator'!$A$10:$Z$226,J$2,FALSE)=0,"",VLOOKUP($A136,'Pre-Assessment Estimator'!$A$10:$Z$226,J$2,FALSE))</f>
        <v/>
      </c>
      <c r="K136" s="577" t="str">
        <f>IF(VLOOKUP($A136,'Pre-Assessment Estimator'!$A$10:$Z$226,K$2,FALSE)=0,"",VLOOKUP($A136,'Pre-Assessment Estimator'!$A$10:$Z$226,K$2,FALSE))</f>
        <v/>
      </c>
      <c r="L136" s="578" t="str">
        <f>IF(VLOOKUP($A136,'Pre-Assessment Estimator'!$A$10:$Z$226,L$2,FALSE)=0,"",VLOOKUP($A136,'Pre-Assessment Estimator'!$A$10:$Z$226,L$2,FALSE))</f>
        <v/>
      </c>
      <c r="M136" s="579"/>
      <c r="N136" s="580" t="str">
        <f>IF(VLOOKUP($A136,'Pre-Assessment Estimator'!$A$10:$Z$226,N$2,FALSE)=0,"",VLOOKUP($A136,'Pre-Assessment Estimator'!$A$10:$Z$226,N$2,FALSE))</f>
        <v/>
      </c>
      <c r="O136" s="575" t="str">
        <f>VLOOKUP($A136,'Pre-Assessment Estimator'!$A$10:$Z$226,O$2,FALSE)</f>
        <v>0 c. 0 %</v>
      </c>
      <c r="P136" s="574" t="str">
        <f>VLOOKUP($A136,'Pre-Assessment Estimator'!$A$10:$Z$226,P$2,FALSE)</f>
        <v>N/A</v>
      </c>
      <c r="Q136" s="577" t="str">
        <f>IF(VLOOKUP($A136,'Pre-Assessment Estimator'!$A$10:$Z$226,Q$2,FALSE)=0,"",VLOOKUP($A136,'Pre-Assessment Estimator'!$A$10:$Z$226,Q$2,FALSE))</f>
        <v/>
      </c>
      <c r="R136" s="577" t="str">
        <f>IF(VLOOKUP($A136,'Pre-Assessment Estimator'!$A$10:$Z$226,R$2,FALSE)=0,"",VLOOKUP($A136,'Pre-Assessment Estimator'!$A$10:$Z$226,R$2,FALSE))</f>
        <v/>
      </c>
      <c r="S136" s="578" t="str">
        <f>IF(VLOOKUP($A136,'Pre-Assessment Estimator'!$A$10:$Z$226,S$2,FALSE)=0,"",VLOOKUP($A136,'Pre-Assessment Estimator'!$A$10:$Z$226,S$2,FALSE))</f>
        <v/>
      </c>
      <c r="T136" s="581"/>
      <c r="U136" s="580" t="str">
        <f>IF(VLOOKUP($A136,'Pre-Assessment Estimator'!$A$10:$Z$226,U$2,FALSE)=0,"",VLOOKUP($A136,'Pre-Assessment Estimator'!$A$10:$Z$226,U$2,FALSE))</f>
        <v/>
      </c>
      <c r="V136" s="575" t="str">
        <f>VLOOKUP($A136,'Pre-Assessment Estimator'!$A$10:$Z$226,V$2,FALSE)</f>
        <v>0 c. 0 %</v>
      </c>
      <c r="W136" s="574" t="str">
        <f>VLOOKUP($A136,'Pre-Assessment Estimator'!$A$10:$Z$226,W$2,FALSE)</f>
        <v>N/A</v>
      </c>
      <c r="X136" s="577" t="str">
        <f>IF(VLOOKUP($A136,'Pre-Assessment Estimator'!$A$10:$Z$226,X$2,FALSE)=0,"",VLOOKUP($A136,'Pre-Assessment Estimator'!$A$10:$Z$226,X$2,FALSE))</f>
        <v/>
      </c>
      <c r="Y136" s="577" t="str">
        <f>IF(VLOOKUP($A136,'Pre-Assessment Estimator'!$A$10:$Z$226,Y$2,FALSE)=0,"",VLOOKUP($A136,'Pre-Assessment Estimator'!$A$10:$Z$226,Y$2,FALSE))</f>
        <v/>
      </c>
      <c r="Z136" s="370" t="str">
        <f>IF(VLOOKUP($A136,'Pre-Assessment Estimator'!$A$10:$Z$226,Z$2,FALSE)=0,"",VLOOKUP($A136,'Pre-Assessment Estimator'!$A$10:$Z$226,Z$2,FALSE))</f>
        <v/>
      </c>
      <c r="AA136" s="696">
        <v>126</v>
      </c>
      <c r="AB136" s="577"/>
      <c r="AF136" s="386">
        <f t="shared" si="2"/>
        <v>1</v>
      </c>
    </row>
    <row r="137" spans="1:32" ht="30" x14ac:dyDescent="0.25">
      <c r="A137" s="823">
        <v>128</v>
      </c>
      <c r="B137" s="1234" t="s">
        <v>68</v>
      </c>
      <c r="C137" s="1234"/>
      <c r="D137" s="1257" t="str">
        <f>VLOOKUP($A137,'Pre-Assessment Estimator'!$A$10:$Z$226,D$2,FALSE)</f>
        <v>Mat 06</v>
      </c>
      <c r="E137" s="1258" t="str">
        <f>VLOOKUP($A137,'Pre-Assessment Estimator'!$A$10:$Z$226,E$2,FALSE)</f>
        <v>Minimum req: mapping for component reuse - criterion 1 (EU taxonomy requirement: criterion 1)</v>
      </c>
      <c r="F137" s="574" t="str">
        <f>VLOOKUP($A137,'Pre-Assessment Estimator'!$A$10:$Z$226,F$2,FALSE)</f>
        <v>Yes/No</v>
      </c>
      <c r="G137" s="580" t="str">
        <f>IF(VLOOKUP($A137,'Pre-Assessment Estimator'!$A$10:$Z$226,G$2,FALSE)=0,"",VLOOKUP($A137,'Pre-Assessment Estimator'!$A$10:$Z$226,G$2,FALSE))</f>
        <v/>
      </c>
      <c r="H137" s="1220" t="str">
        <f>VLOOKUP($A137,'Pre-Assessment Estimator'!$A$10:$Z$226,H$2,FALSE)</f>
        <v>-</v>
      </c>
      <c r="I137" s="576" t="str">
        <f>VLOOKUP($A137,'Pre-Assessment Estimator'!$A$10:$Z$226,I$2,FALSE)</f>
        <v>Unclassified</v>
      </c>
      <c r="J137" s="577" t="str">
        <f>IF(VLOOKUP($A137,'Pre-Assessment Estimator'!$A$10:$Z$226,J$2,FALSE)=0,"",VLOOKUP($A137,'Pre-Assessment Estimator'!$A$10:$Z$226,J$2,FALSE))</f>
        <v/>
      </c>
      <c r="K137" s="577" t="str">
        <f>IF(VLOOKUP($A137,'Pre-Assessment Estimator'!$A$10:$Z$226,K$2,FALSE)=0,"",VLOOKUP($A137,'Pre-Assessment Estimator'!$A$10:$Z$226,K$2,FALSE))</f>
        <v/>
      </c>
      <c r="L137" s="578" t="str">
        <f>IF(VLOOKUP($A137,'Pre-Assessment Estimator'!$A$10:$Z$226,L$2,FALSE)=0,"",VLOOKUP($A137,'Pre-Assessment Estimator'!$A$10:$Z$226,L$2,FALSE))</f>
        <v/>
      </c>
      <c r="M137" s="579"/>
      <c r="N137" s="580" t="str">
        <f>IF(VLOOKUP($A137,'Pre-Assessment Estimator'!$A$10:$Z$226,N$2,FALSE)=0,"",VLOOKUP($A137,'Pre-Assessment Estimator'!$A$10:$Z$226,N$2,FALSE))</f>
        <v/>
      </c>
      <c r="O137" s="575" t="str">
        <f>VLOOKUP($A137,'Pre-Assessment Estimator'!$A$10:$Z$226,O$2,FALSE)</f>
        <v>-</v>
      </c>
      <c r="P137" s="574" t="str">
        <f>VLOOKUP($A137,'Pre-Assessment Estimator'!$A$10:$Z$226,P$2,FALSE)</f>
        <v>Unclassified</v>
      </c>
      <c r="Q137" s="577" t="str">
        <f>IF(VLOOKUP($A137,'Pre-Assessment Estimator'!$A$10:$Z$226,Q$2,FALSE)=0,"",VLOOKUP($A137,'Pre-Assessment Estimator'!$A$10:$Z$226,Q$2,FALSE))</f>
        <v/>
      </c>
      <c r="R137" s="577" t="str">
        <f>IF(VLOOKUP($A137,'Pre-Assessment Estimator'!$A$10:$Z$226,R$2,FALSE)=0,"",VLOOKUP($A137,'Pre-Assessment Estimator'!$A$10:$Z$226,R$2,FALSE))</f>
        <v/>
      </c>
      <c r="S137" s="578" t="str">
        <f>IF(VLOOKUP($A137,'Pre-Assessment Estimator'!$A$10:$Z$226,S$2,FALSE)=0,"",VLOOKUP($A137,'Pre-Assessment Estimator'!$A$10:$Z$226,S$2,FALSE))</f>
        <v/>
      </c>
      <c r="T137" s="581"/>
      <c r="U137" s="580" t="str">
        <f>IF(VLOOKUP($A137,'Pre-Assessment Estimator'!$A$10:$Z$226,U$2,FALSE)=0,"",VLOOKUP($A137,'Pre-Assessment Estimator'!$A$10:$Z$226,U$2,FALSE))</f>
        <v/>
      </c>
      <c r="V137" s="575" t="str">
        <f>VLOOKUP($A137,'Pre-Assessment Estimator'!$A$10:$Z$226,V$2,FALSE)</f>
        <v>-</v>
      </c>
      <c r="W137" s="574" t="str">
        <f>VLOOKUP($A137,'Pre-Assessment Estimator'!$A$10:$Z$226,W$2,FALSE)</f>
        <v>Unclassified</v>
      </c>
      <c r="X137" s="577" t="str">
        <f>IF(VLOOKUP($A137,'Pre-Assessment Estimator'!$A$10:$Z$226,X$2,FALSE)=0,"",VLOOKUP($A137,'Pre-Assessment Estimator'!$A$10:$Z$226,X$2,FALSE))</f>
        <v/>
      </c>
      <c r="Y137" s="577" t="str">
        <f>IF(VLOOKUP($A137,'Pre-Assessment Estimator'!$A$10:$Z$226,Y$2,FALSE)=0,"",VLOOKUP($A137,'Pre-Assessment Estimator'!$A$10:$Z$226,Y$2,FALSE))</f>
        <v/>
      </c>
      <c r="Z137" s="370" t="str">
        <f>IF(VLOOKUP($A137,'Pre-Assessment Estimator'!$A$10:$Z$226,Z$2,FALSE)=0,"",VLOOKUP($A137,'Pre-Assessment Estimator'!$A$10:$Z$226,Z$2,FALSE))</f>
        <v/>
      </c>
      <c r="AA137" s="696">
        <v>127</v>
      </c>
      <c r="AB137" s="577"/>
      <c r="AF137" s="386">
        <f t="shared" si="2"/>
        <v>1</v>
      </c>
    </row>
    <row r="138" spans="1:32" x14ac:dyDescent="0.25">
      <c r="A138" s="823">
        <v>129</v>
      </c>
      <c r="B138" s="1234" t="s">
        <v>68</v>
      </c>
      <c r="C138" s="1234"/>
      <c r="D138" s="1257" t="str">
        <f>VLOOKUP($A138,'Pre-Assessment Estimator'!$A$10:$Z$226,D$2,FALSE)</f>
        <v>Mat 06</v>
      </c>
      <c r="E138" s="1296" t="str">
        <f>VLOOKUP($A138,'Pre-Assessment Estimator'!$A$10:$Z$226,E$2,FALSE)</f>
        <v>Mapping for component reuse and implementation</v>
      </c>
      <c r="F138" s="574">
        <f>VLOOKUP($A138,'Pre-Assessment Estimator'!$A$10:$Z$226,F$2,FALSE)</f>
        <v>1</v>
      </c>
      <c r="G138" s="580" t="str">
        <f>IF(VLOOKUP($A138,'Pre-Assessment Estimator'!$A$10:$Z$226,G$2,FALSE)=0,"",VLOOKUP($A138,'Pre-Assessment Estimator'!$A$10:$Z$226,G$2,FALSE))</f>
        <v/>
      </c>
      <c r="H138" s="1220">
        <f>VLOOKUP($A138,'Pre-Assessment Estimator'!$A$10:$Z$226,H$2,FALSE)</f>
        <v>0</v>
      </c>
      <c r="I138" s="576" t="str">
        <f>VLOOKUP($A138,'Pre-Assessment Estimator'!$A$10:$Z$226,I$2,FALSE)</f>
        <v>Unclassified</v>
      </c>
      <c r="J138" s="577" t="str">
        <f>IF(VLOOKUP($A138,'Pre-Assessment Estimator'!$A$10:$Z$226,J$2,FALSE)=0,"",VLOOKUP($A138,'Pre-Assessment Estimator'!$A$10:$Z$226,J$2,FALSE))</f>
        <v/>
      </c>
      <c r="K138" s="577" t="str">
        <f>IF(VLOOKUP($A138,'Pre-Assessment Estimator'!$A$10:$Z$226,K$2,FALSE)=0,"",VLOOKUP($A138,'Pre-Assessment Estimator'!$A$10:$Z$226,K$2,FALSE))</f>
        <v/>
      </c>
      <c r="L138" s="578" t="str">
        <f>IF(VLOOKUP($A138,'Pre-Assessment Estimator'!$A$10:$Z$226,L$2,FALSE)=0,"",VLOOKUP($A138,'Pre-Assessment Estimator'!$A$10:$Z$226,L$2,FALSE))</f>
        <v/>
      </c>
      <c r="M138" s="579"/>
      <c r="N138" s="580" t="str">
        <f>IF(VLOOKUP($A138,'Pre-Assessment Estimator'!$A$10:$Z$226,N$2,FALSE)=0,"",VLOOKUP($A138,'Pre-Assessment Estimator'!$A$10:$Z$226,N$2,FALSE))</f>
        <v/>
      </c>
      <c r="O138" s="575">
        <f>VLOOKUP($A138,'Pre-Assessment Estimator'!$A$10:$Z$226,O$2,FALSE)</f>
        <v>0</v>
      </c>
      <c r="P138" s="574" t="str">
        <f>VLOOKUP($A138,'Pre-Assessment Estimator'!$A$10:$Z$226,P$2,FALSE)</f>
        <v>Unclassified</v>
      </c>
      <c r="Q138" s="577" t="str">
        <f>IF(VLOOKUP($A138,'Pre-Assessment Estimator'!$A$10:$Z$226,Q$2,FALSE)=0,"",VLOOKUP($A138,'Pre-Assessment Estimator'!$A$10:$Z$226,Q$2,FALSE))</f>
        <v/>
      </c>
      <c r="R138" s="577" t="str">
        <f>IF(VLOOKUP($A138,'Pre-Assessment Estimator'!$A$10:$Z$226,R$2,FALSE)=0,"",VLOOKUP($A138,'Pre-Assessment Estimator'!$A$10:$Z$226,R$2,FALSE))</f>
        <v/>
      </c>
      <c r="S138" s="578" t="str">
        <f>IF(VLOOKUP($A138,'Pre-Assessment Estimator'!$A$10:$Z$226,S$2,FALSE)=0,"",VLOOKUP($A138,'Pre-Assessment Estimator'!$A$10:$Z$226,S$2,FALSE))</f>
        <v/>
      </c>
      <c r="T138" s="581"/>
      <c r="U138" s="580" t="str">
        <f>IF(VLOOKUP($A138,'Pre-Assessment Estimator'!$A$10:$Z$226,U$2,FALSE)=0,"",VLOOKUP($A138,'Pre-Assessment Estimator'!$A$10:$Z$226,U$2,FALSE))</f>
        <v/>
      </c>
      <c r="V138" s="575">
        <f>VLOOKUP($A138,'Pre-Assessment Estimator'!$A$10:$Z$226,V$2,FALSE)</f>
        <v>0</v>
      </c>
      <c r="W138" s="574" t="str">
        <f>VLOOKUP($A138,'Pre-Assessment Estimator'!$A$10:$Z$226,W$2,FALSE)</f>
        <v>Unclassified</v>
      </c>
      <c r="X138" s="577" t="str">
        <f>IF(VLOOKUP($A138,'Pre-Assessment Estimator'!$A$10:$Z$226,X$2,FALSE)=0,"",VLOOKUP($A138,'Pre-Assessment Estimator'!$A$10:$Z$226,X$2,FALSE))</f>
        <v/>
      </c>
      <c r="Y138" s="577" t="str">
        <f>IF(VLOOKUP($A138,'Pre-Assessment Estimator'!$A$10:$Z$226,Y$2,FALSE)=0,"",VLOOKUP($A138,'Pre-Assessment Estimator'!$A$10:$Z$226,Y$2,FALSE))</f>
        <v/>
      </c>
      <c r="Z138" s="370" t="str">
        <f>IF(VLOOKUP($A138,'Pre-Assessment Estimator'!$A$10:$Z$226,Z$2,FALSE)=0,"",VLOOKUP($A138,'Pre-Assessment Estimator'!$A$10:$Z$226,Z$2,FALSE))</f>
        <v/>
      </c>
      <c r="AA138" s="696">
        <v>128</v>
      </c>
      <c r="AB138" s="577"/>
      <c r="AF138" s="386">
        <f t="shared" si="2"/>
        <v>1</v>
      </c>
    </row>
    <row r="139" spans="1:32" x14ac:dyDescent="0.25">
      <c r="A139" s="823">
        <v>130</v>
      </c>
      <c r="B139" s="1234" t="s">
        <v>68</v>
      </c>
      <c r="C139" s="1234"/>
      <c r="D139" s="1257" t="str">
        <f>VLOOKUP($A139,'Pre-Assessment Estimator'!$A$10:$Z$226,D$2,FALSE)</f>
        <v>Mat 06</v>
      </c>
      <c r="E139" s="1258" t="str">
        <f>VLOOKUP($A139,'Pre-Assessment Estimator'!$A$10:$Z$226,E$2,FALSE)</f>
        <v>Material efficency</v>
      </c>
      <c r="F139" s="574">
        <f>VLOOKUP($A139,'Pre-Assessment Estimator'!$A$10:$Z$226,F$2,FALSE)</f>
        <v>1</v>
      </c>
      <c r="G139" s="580" t="str">
        <f>IF(VLOOKUP($A139,'Pre-Assessment Estimator'!$A$10:$Z$226,G$2,FALSE)=0,"",VLOOKUP($A139,'Pre-Assessment Estimator'!$A$10:$Z$226,G$2,FALSE))</f>
        <v/>
      </c>
      <c r="H139" s="1220">
        <f>VLOOKUP($A139,'Pre-Assessment Estimator'!$A$10:$Z$226,H$2,FALSE)</f>
        <v>0</v>
      </c>
      <c r="I139" s="576" t="str">
        <f>VLOOKUP($A139,'Pre-Assessment Estimator'!$A$10:$Z$226,I$2,FALSE)</f>
        <v>N/A</v>
      </c>
      <c r="J139" s="577" t="str">
        <f>IF(VLOOKUP($A139,'Pre-Assessment Estimator'!$A$10:$Z$226,J$2,FALSE)=0,"",VLOOKUP($A139,'Pre-Assessment Estimator'!$A$10:$Z$226,J$2,FALSE))</f>
        <v/>
      </c>
      <c r="K139" s="577" t="str">
        <f>IF(VLOOKUP($A139,'Pre-Assessment Estimator'!$A$10:$Z$226,K$2,FALSE)=0,"",VLOOKUP($A139,'Pre-Assessment Estimator'!$A$10:$Z$226,K$2,FALSE))</f>
        <v/>
      </c>
      <c r="L139" s="578" t="str">
        <f>IF(VLOOKUP($A139,'Pre-Assessment Estimator'!$A$10:$Z$226,L$2,FALSE)=0,"",VLOOKUP($A139,'Pre-Assessment Estimator'!$A$10:$Z$226,L$2,FALSE))</f>
        <v/>
      </c>
      <c r="M139" s="579"/>
      <c r="N139" s="580" t="str">
        <f>IF(VLOOKUP($A139,'Pre-Assessment Estimator'!$A$10:$Z$226,N$2,FALSE)=0,"",VLOOKUP($A139,'Pre-Assessment Estimator'!$A$10:$Z$226,N$2,FALSE))</f>
        <v/>
      </c>
      <c r="O139" s="575">
        <f>VLOOKUP($A139,'Pre-Assessment Estimator'!$A$10:$Z$226,O$2,FALSE)</f>
        <v>0</v>
      </c>
      <c r="P139" s="574" t="str">
        <f>VLOOKUP($A139,'Pre-Assessment Estimator'!$A$10:$Z$226,P$2,FALSE)</f>
        <v>N/A</v>
      </c>
      <c r="Q139" s="577" t="str">
        <f>IF(VLOOKUP($A139,'Pre-Assessment Estimator'!$A$10:$Z$226,Q$2,FALSE)=0,"",VLOOKUP($A139,'Pre-Assessment Estimator'!$A$10:$Z$226,Q$2,FALSE))</f>
        <v/>
      </c>
      <c r="R139" s="577" t="str">
        <f>IF(VLOOKUP($A139,'Pre-Assessment Estimator'!$A$10:$Z$226,R$2,FALSE)=0,"",VLOOKUP($A139,'Pre-Assessment Estimator'!$A$10:$Z$226,R$2,FALSE))</f>
        <v/>
      </c>
      <c r="S139" s="578" t="str">
        <f>IF(VLOOKUP($A139,'Pre-Assessment Estimator'!$A$10:$Z$226,S$2,FALSE)=0,"",VLOOKUP($A139,'Pre-Assessment Estimator'!$A$10:$Z$226,S$2,FALSE))</f>
        <v/>
      </c>
      <c r="T139" s="581"/>
      <c r="U139" s="580" t="str">
        <f>IF(VLOOKUP($A139,'Pre-Assessment Estimator'!$A$10:$Z$226,U$2,FALSE)=0,"",VLOOKUP($A139,'Pre-Assessment Estimator'!$A$10:$Z$226,U$2,FALSE))</f>
        <v/>
      </c>
      <c r="V139" s="575">
        <f>VLOOKUP($A139,'Pre-Assessment Estimator'!$A$10:$Z$226,V$2,FALSE)</f>
        <v>0</v>
      </c>
      <c r="W139" s="574" t="str">
        <f>VLOOKUP($A139,'Pre-Assessment Estimator'!$A$10:$Z$226,W$2,FALSE)</f>
        <v>N/A</v>
      </c>
      <c r="X139" s="577" t="str">
        <f>IF(VLOOKUP($A139,'Pre-Assessment Estimator'!$A$10:$Z$226,X$2,FALSE)=0,"",VLOOKUP($A139,'Pre-Assessment Estimator'!$A$10:$Z$226,X$2,FALSE))</f>
        <v/>
      </c>
      <c r="Y139" s="577" t="str">
        <f>IF(VLOOKUP($A139,'Pre-Assessment Estimator'!$A$10:$Z$226,Y$2,FALSE)=0,"",VLOOKUP($A139,'Pre-Assessment Estimator'!$A$10:$Z$226,Y$2,FALSE))</f>
        <v/>
      </c>
      <c r="Z139" s="370" t="str">
        <f>IF(VLOOKUP($A139,'Pre-Assessment Estimator'!$A$10:$Z$226,Z$2,FALSE)=0,"",VLOOKUP($A139,'Pre-Assessment Estimator'!$A$10:$Z$226,Z$2,FALSE))</f>
        <v/>
      </c>
      <c r="AA139" s="696">
        <v>129</v>
      </c>
      <c r="AB139" s="577" t="str">
        <f>IF(VLOOKUP($A139,'Pre-Assessment Estimator'!$A$10:$AB$226,AB$2,FALSE)=0,"",VLOOKUP($A139,'Pre-Assessment Estimator'!$A$10:$AB$226,AB$2,FALSE))</f>
        <v/>
      </c>
      <c r="AF139" s="386">
        <f t="shared" si="2"/>
        <v>1</v>
      </c>
    </row>
    <row r="140" spans="1:32" x14ac:dyDescent="0.25">
      <c r="A140" s="823">
        <v>131</v>
      </c>
      <c r="B140" s="1234" t="s">
        <v>68</v>
      </c>
      <c r="C140" s="1234"/>
      <c r="D140" s="1257" t="str">
        <f>VLOOKUP($A140,'Pre-Assessment Estimator'!$A$10:$Z$226,D$2,FALSE)</f>
        <v>Mat 06</v>
      </c>
      <c r="E140" s="1258" t="str">
        <f>VLOOKUP($A140,'Pre-Assessment Estimator'!$A$10:$Z$226,E$2,FALSE)</f>
        <v>Reuse of extern building components</v>
      </c>
      <c r="F140" s="574">
        <f>VLOOKUP($A140,'Pre-Assessment Estimator'!$A$10:$Z$226,F$2,FALSE)</f>
        <v>1</v>
      </c>
      <c r="G140" s="580" t="str">
        <f>IF(VLOOKUP($A140,'Pre-Assessment Estimator'!$A$10:$Z$226,G$2,FALSE)=0,"",VLOOKUP($A140,'Pre-Assessment Estimator'!$A$10:$Z$226,G$2,FALSE))</f>
        <v/>
      </c>
      <c r="H140" s="1220">
        <f>VLOOKUP($A140,'Pre-Assessment Estimator'!$A$10:$Z$226,H$2,FALSE)</f>
        <v>0</v>
      </c>
      <c r="I140" s="576" t="str">
        <f>VLOOKUP($A140,'Pre-Assessment Estimator'!$A$10:$Z$226,I$2,FALSE)</f>
        <v>N/A</v>
      </c>
      <c r="J140" s="577" t="str">
        <f>IF(VLOOKUP($A140,'Pre-Assessment Estimator'!$A$10:$Z$226,J$2,FALSE)=0,"",VLOOKUP($A140,'Pre-Assessment Estimator'!$A$10:$Z$226,J$2,FALSE))</f>
        <v/>
      </c>
      <c r="K140" s="577" t="str">
        <f>IF(VLOOKUP($A140,'Pre-Assessment Estimator'!$A$10:$Z$226,K$2,FALSE)=0,"",VLOOKUP($A140,'Pre-Assessment Estimator'!$A$10:$Z$226,K$2,FALSE))</f>
        <v/>
      </c>
      <c r="L140" s="578" t="str">
        <f>IF(VLOOKUP($A140,'Pre-Assessment Estimator'!$A$10:$Z$226,L$2,FALSE)=0,"",VLOOKUP($A140,'Pre-Assessment Estimator'!$A$10:$Z$226,L$2,FALSE))</f>
        <v/>
      </c>
      <c r="M140" s="579"/>
      <c r="N140" s="580" t="str">
        <f>IF(VLOOKUP($A140,'Pre-Assessment Estimator'!$A$10:$Z$226,N$2,FALSE)=0,"",VLOOKUP($A140,'Pre-Assessment Estimator'!$A$10:$Z$226,N$2,FALSE))</f>
        <v/>
      </c>
      <c r="O140" s="575">
        <f>VLOOKUP($A140,'Pre-Assessment Estimator'!$A$10:$Z$226,O$2,FALSE)</f>
        <v>0</v>
      </c>
      <c r="P140" s="574" t="str">
        <f>VLOOKUP($A140,'Pre-Assessment Estimator'!$A$10:$Z$226,P$2,FALSE)</f>
        <v>N/A</v>
      </c>
      <c r="Q140" s="577" t="str">
        <f>IF(VLOOKUP($A140,'Pre-Assessment Estimator'!$A$10:$Z$226,Q$2,FALSE)=0,"",VLOOKUP($A140,'Pre-Assessment Estimator'!$A$10:$Z$226,Q$2,FALSE))</f>
        <v/>
      </c>
      <c r="R140" s="577" t="str">
        <f>IF(VLOOKUP($A140,'Pre-Assessment Estimator'!$A$10:$Z$226,R$2,FALSE)=0,"",VLOOKUP($A140,'Pre-Assessment Estimator'!$A$10:$Z$226,R$2,FALSE))</f>
        <v/>
      </c>
      <c r="S140" s="578" t="str">
        <f>IF(VLOOKUP($A140,'Pre-Assessment Estimator'!$A$10:$Z$226,S$2,FALSE)=0,"",VLOOKUP($A140,'Pre-Assessment Estimator'!$A$10:$Z$226,S$2,FALSE))</f>
        <v/>
      </c>
      <c r="T140" s="581"/>
      <c r="U140" s="580" t="str">
        <f>IF(VLOOKUP($A140,'Pre-Assessment Estimator'!$A$10:$Z$226,U$2,FALSE)=0,"",VLOOKUP($A140,'Pre-Assessment Estimator'!$A$10:$Z$226,U$2,FALSE))</f>
        <v/>
      </c>
      <c r="V140" s="575">
        <f>VLOOKUP($A140,'Pre-Assessment Estimator'!$A$10:$Z$226,V$2,FALSE)</f>
        <v>0</v>
      </c>
      <c r="W140" s="574" t="str">
        <f>VLOOKUP($A140,'Pre-Assessment Estimator'!$A$10:$Z$226,W$2,FALSE)</f>
        <v>N/A</v>
      </c>
      <c r="X140" s="577" t="str">
        <f>IF(VLOOKUP($A140,'Pre-Assessment Estimator'!$A$10:$Z$226,X$2,FALSE)=0,"",VLOOKUP($A140,'Pre-Assessment Estimator'!$A$10:$Z$226,X$2,FALSE))</f>
        <v/>
      </c>
      <c r="Y140" s="577" t="str">
        <f>IF(VLOOKUP($A140,'Pre-Assessment Estimator'!$A$10:$Z$226,Y$2,FALSE)=0,"",VLOOKUP($A140,'Pre-Assessment Estimator'!$A$10:$Z$226,Y$2,FALSE))</f>
        <v/>
      </c>
      <c r="Z140" s="370" t="str">
        <f>IF(VLOOKUP($A140,'Pre-Assessment Estimator'!$A$10:$Z$226,Z$2,FALSE)=0,"",VLOOKUP($A140,'Pre-Assessment Estimator'!$A$10:$Z$226,Z$2,FALSE))</f>
        <v/>
      </c>
      <c r="AA140" s="696">
        <v>130</v>
      </c>
      <c r="AB140" s="577" t="str">
        <f>IF(VLOOKUP($A140,'Pre-Assessment Estimator'!$A$10:$AB$226,AB$2,FALSE)=0,"",VLOOKUP($A140,'Pre-Assessment Estimator'!$A$10:$AB$226,AB$2,FALSE))</f>
        <v/>
      </c>
      <c r="AF140" s="386">
        <f t="shared" si="2"/>
        <v>1</v>
      </c>
    </row>
    <row r="141" spans="1:32" x14ac:dyDescent="0.25">
      <c r="A141" s="823">
        <v>132</v>
      </c>
      <c r="B141" s="1234" t="s">
        <v>68</v>
      </c>
      <c r="C141" s="1234"/>
      <c r="D141" s="1256" t="str">
        <f>VLOOKUP($A141,'Pre-Assessment Estimator'!$A$10:$Z$226,D$2,FALSE)</f>
        <v>Mat 07</v>
      </c>
      <c r="E141" s="1256" t="str">
        <f>VLOOKUP($A141,'Pre-Assessment Estimator'!$A$10:$Z$226,E$2,FALSE)</f>
        <v>Mat 07 Design for disassembly and adaptability</v>
      </c>
      <c r="F141" s="574">
        <f>VLOOKUP($A141,'Pre-Assessment Estimator'!$A$10:$Z$226,F$2,FALSE)</f>
        <v>3</v>
      </c>
      <c r="G141" s="580" t="str">
        <f>IF(VLOOKUP($A141,'Pre-Assessment Estimator'!$A$10:$Z$226,G$2,FALSE)=0,"",VLOOKUP($A141,'Pre-Assessment Estimator'!$A$10:$Z$226,G$2,FALSE))</f>
        <v/>
      </c>
      <c r="H141" s="1220" t="str">
        <f>VLOOKUP($A141,'Pre-Assessment Estimator'!$A$10:$Z$226,H$2,FALSE)</f>
        <v>0 c. 0 %</v>
      </c>
      <c r="I141" s="576" t="str">
        <f>VLOOKUP($A141,'Pre-Assessment Estimator'!$A$10:$Z$226,I$2,FALSE)</f>
        <v>N/A</v>
      </c>
      <c r="J141" s="577" t="str">
        <f>IF(VLOOKUP($A141,'Pre-Assessment Estimator'!$A$10:$Z$226,J$2,FALSE)=0,"",VLOOKUP($A141,'Pre-Assessment Estimator'!$A$10:$Z$226,J$2,FALSE))</f>
        <v/>
      </c>
      <c r="K141" s="577" t="str">
        <f>IF(VLOOKUP($A141,'Pre-Assessment Estimator'!$A$10:$Z$226,K$2,FALSE)=0,"",VLOOKUP($A141,'Pre-Assessment Estimator'!$A$10:$Z$226,K$2,FALSE))</f>
        <v/>
      </c>
      <c r="L141" s="578" t="str">
        <f>IF(VLOOKUP($A141,'Pre-Assessment Estimator'!$A$10:$Z$226,L$2,FALSE)=0,"",VLOOKUP($A141,'Pre-Assessment Estimator'!$A$10:$Z$226,L$2,FALSE))</f>
        <v/>
      </c>
      <c r="M141" s="579"/>
      <c r="N141" s="580" t="str">
        <f>IF(VLOOKUP($A141,'Pre-Assessment Estimator'!$A$10:$Z$226,N$2,FALSE)=0,"",VLOOKUP($A141,'Pre-Assessment Estimator'!$A$10:$Z$226,N$2,FALSE))</f>
        <v/>
      </c>
      <c r="O141" s="575" t="str">
        <f>VLOOKUP($A141,'Pre-Assessment Estimator'!$A$10:$Z$226,O$2,FALSE)</f>
        <v>0 c. 0 %</v>
      </c>
      <c r="P141" s="574" t="str">
        <f>VLOOKUP($A141,'Pre-Assessment Estimator'!$A$10:$Z$226,P$2,FALSE)</f>
        <v>N/A</v>
      </c>
      <c r="Q141" s="577" t="str">
        <f>IF(VLOOKUP($A141,'Pre-Assessment Estimator'!$A$10:$Z$226,Q$2,FALSE)=0,"",VLOOKUP($A141,'Pre-Assessment Estimator'!$A$10:$Z$226,Q$2,FALSE))</f>
        <v/>
      </c>
      <c r="R141" s="577" t="str">
        <f>IF(VLOOKUP($A141,'Pre-Assessment Estimator'!$A$10:$Z$226,R$2,FALSE)=0,"",VLOOKUP($A141,'Pre-Assessment Estimator'!$A$10:$Z$226,R$2,FALSE))</f>
        <v/>
      </c>
      <c r="S141" s="578" t="str">
        <f>IF(VLOOKUP($A141,'Pre-Assessment Estimator'!$A$10:$Z$226,S$2,FALSE)=0,"",VLOOKUP($A141,'Pre-Assessment Estimator'!$A$10:$Z$226,S$2,FALSE))</f>
        <v/>
      </c>
      <c r="T141" s="581"/>
      <c r="U141" s="580" t="str">
        <f>IF(VLOOKUP($A141,'Pre-Assessment Estimator'!$A$10:$Z$226,U$2,FALSE)=0,"",VLOOKUP($A141,'Pre-Assessment Estimator'!$A$10:$Z$226,U$2,FALSE))</f>
        <v/>
      </c>
      <c r="V141" s="575" t="str">
        <f>VLOOKUP($A141,'Pre-Assessment Estimator'!$A$10:$Z$226,V$2,FALSE)</f>
        <v>0 c. 0 %</v>
      </c>
      <c r="W141" s="574" t="str">
        <f>VLOOKUP($A141,'Pre-Assessment Estimator'!$A$10:$Z$226,W$2,FALSE)</f>
        <v>N/A</v>
      </c>
      <c r="X141" s="577" t="str">
        <f>IF(VLOOKUP($A141,'Pre-Assessment Estimator'!$A$10:$Z$226,X$2,FALSE)=0,"",VLOOKUP($A141,'Pre-Assessment Estimator'!$A$10:$Z$226,X$2,FALSE))</f>
        <v/>
      </c>
      <c r="Y141" s="577" t="str">
        <f>IF(VLOOKUP($A141,'Pre-Assessment Estimator'!$A$10:$Z$226,Y$2,FALSE)=0,"",VLOOKUP($A141,'Pre-Assessment Estimator'!$A$10:$Z$226,Y$2,FALSE))</f>
        <v/>
      </c>
      <c r="Z141" s="370" t="str">
        <f>IF(VLOOKUP($A141,'Pre-Assessment Estimator'!$A$10:$Z$226,Z$2,FALSE)=0,"",VLOOKUP($A141,'Pre-Assessment Estimator'!$A$10:$Z$226,Z$2,FALSE))</f>
        <v/>
      </c>
      <c r="AA141" s="696">
        <v>131</v>
      </c>
      <c r="AB141" s="577"/>
      <c r="AF141" s="386">
        <f t="shared" si="2"/>
        <v>1</v>
      </c>
    </row>
    <row r="142" spans="1:32" x14ac:dyDescent="0.25">
      <c r="A142" s="823">
        <v>133</v>
      </c>
      <c r="B142" s="1234" t="s">
        <v>68</v>
      </c>
      <c r="C142" s="1234"/>
      <c r="D142" s="1257" t="str">
        <f>VLOOKUP($A142,'Pre-Assessment Estimator'!$A$10:$Z$226,D$2,FALSE)</f>
        <v>Mat 07</v>
      </c>
      <c r="E142" s="1258" t="str">
        <f>VLOOKUP($A142,'Pre-Assessment Estimator'!$A$10:$Z$226,E$2,FALSE)</f>
        <v>Resource inventory</v>
      </c>
      <c r="F142" s="574">
        <f>VLOOKUP($A142,'Pre-Assessment Estimator'!$A$10:$Z$226,F$2,FALSE)</f>
        <v>1</v>
      </c>
      <c r="G142" s="580" t="str">
        <f>IF(VLOOKUP($A142,'Pre-Assessment Estimator'!$A$10:$Z$226,G$2,FALSE)=0,"",VLOOKUP($A142,'Pre-Assessment Estimator'!$A$10:$Z$226,G$2,FALSE))</f>
        <v/>
      </c>
      <c r="H142" s="1220">
        <f>VLOOKUP($A142,'Pre-Assessment Estimator'!$A$10:$Z$226,H$2,FALSE)</f>
        <v>0</v>
      </c>
      <c r="I142" s="576" t="str">
        <f>VLOOKUP($A142,'Pre-Assessment Estimator'!$A$10:$Z$226,I$2,FALSE)</f>
        <v>N/A</v>
      </c>
      <c r="J142" s="577" t="str">
        <f>IF(VLOOKUP($A142,'Pre-Assessment Estimator'!$A$10:$Z$226,J$2,FALSE)=0,"",VLOOKUP($A142,'Pre-Assessment Estimator'!$A$10:$Z$226,J$2,FALSE))</f>
        <v/>
      </c>
      <c r="K142" s="577" t="str">
        <f>IF(VLOOKUP($A142,'Pre-Assessment Estimator'!$A$10:$Z$226,K$2,FALSE)=0,"",VLOOKUP($A142,'Pre-Assessment Estimator'!$A$10:$Z$226,K$2,FALSE))</f>
        <v/>
      </c>
      <c r="L142" s="578" t="str">
        <f>IF(VLOOKUP($A142,'Pre-Assessment Estimator'!$A$10:$Z$226,L$2,FALSE)=0,"",VLOOKUP($A142,'Pre-Assessment Estimator'!$A$10:$Z$226,L$2,FALSE))</f>
        <v/>
      </c>
      <c r="M142" s="579"/>
      <c r="N142" s="580" t="str">
        <f>IF(VLOOKUP($A142,'Pre-Assessment Estimator'!$A$10:$Z$226,N$2,FALSE)=0,"",VLOOKUP($A142,'Pre-Assessment Estimator'!$A$10:$Z$226,N$2,FALSE))</f>
        <v/>
      </c>
      <c r="O142" s="575">
        <f>VLOOKUP($A142,'Pre-Assessment Estimator'!$A$10:$Z$226,O$2,FALSE)</f>
        <v>0</v>
      </c>
      <c r="P142" s="574" t="str">
        <f>VLOOKUP($A142,'Pre-Assessment Estimator'!$A$10:$Z$226,P$2,FALSE)</f>
        <v>N/A</v>
      </c>
      <c r="Q142" s="577" t="str">
        <f>IF(VLOOKUP($A142,'Pre-Assessment Estimator'!$A$10:$Z$226,Q$2,FALSE)=0,"",VLOOKUP($A142,'Pre-Assessment Estimator'!$A$10:$Z$226,Q$2,FALSE))</f>
        <v/>
      </c>
      <c r="R142" s="577" t="str">
        <f>IF(VLOOKUP($A142,'Pre-Assessment Estimator'!$A$10:$Z$226,R$2,FALSE)=0,"",VLOOKUP($A142,'Pre-Assessment Estimator'!$A$10:$Z$226,R$2,FALSE))</f>
        <v/>
      </c>
      <c r="S142" s="578" t="str">
        <f>IF(VLOOKUP($A142,'Pre-Assessment Estimator'!$A$10:$Z$226,S$2,FALSE)=0,"",VLOOKUP($A142,'Pre-Assessment Estimator'!$A$10:$Z$226,S$2,FALSE))</f>
        <v/>
      </c>
      <c r="T142" s="581"/>
      <c r="U142" s="580" t="str">
        <f>IF(VLOOKUP($A142,'Pre-Assessment Estimator'!$A$10:$Z$226,U$2,FALSE)=0,"",VLOOKUP($A142,'Pre-Assessment Estimator'!$A$10:$Z$226,U$2,FALSE))</f>
        <v/>
      </c>
      <c r="V142" s="575">
        <f>VLOOKUP($A142,'Pre-Assessment Estimator'!$A$10:$Z$226,V$2,FALSE)</f>
        <v>0</v>
      </c>
      <c r="W142" s="574" t="str">
        <f>VLOOKUP($A142,'Pre-Assessment Estimator'!$A$10:$Z$226,W$2,FALSE)</f>
        <v>N/A</v>
      </c>
      <c r="X142" s="577" t="str">
        <f>IF(VLOOKUP($A142,'Pre-Assessment Estimator'!$A$10:$Z$226,X$2,FALSE)=0,"",VLOOKUP($A142,'Pre-Assessment Estimator'!$A$10:$Z$226,X$2,FALSE))</f>
        <v/>
      </c>
      <c r="Y142" s="577" t="str">
        <f>IF(VLOOKUP($A142,'Pre-Assessment Estimator'!$A$10:$Z$226,Y$2,FALSE)=0,"",VLOOKUP($A142,'Pre-Assessment Estimator'!$A$10:$Z$226,Y$2,FALSE))</f>
        <v/>
      </c>
      <c r="Z142" s="370" t="str">
        <f>IF(VLOOKUP($A142,'Pre-Assessment Estimator'!$A$10:$Z$226,Z$2,FALSE)=0,"",VLOOKUP($A142,'Pre-Assessment Estimator'!$A$10:$Z$226,Z$2,FALSE))</f>
        <v/>
      </c>
      <c r="AA142" s="696">
        <v>132</v>
      </c>
      <c r="AB142" s="577"/>
      <c r="AF142" s="386">
        <f t="shared" si="2"/>
        <v>1</v>
      </c>
    </row>
    <row r="143" spans="1:32" ht="30" x14ac:dyDescent="0.25">
      <c r="A143" s="823">
        <v>134</v>
      </c>
      <c r="B143" s="1234" t="s">
        <v>68</v>
      </c>
      <c r="C143" s="1234"/>
      <c r="D143" s="1257" t="str">
        <f>VLOOKUP($A143,'Pre-Assessment Estimator'!$A$10:$Z$226,D$2,FALSE)</f>
        <v>Mat 07</v>
      </c>
      <c r="E143" s="1258" t="str">
        <f>VLOOKUP($A143,'Pre-Assessment Estimator'!$A$10:$Z$226,E$2,FALSE)</f>
        <v>Design for disassembly and functional adaptability - recommendations (EU taxonomy requirement: criterion 2-3)</v>
      </c>
      <c r="F143" s="574">
        <f>VLOOKUP($A143,'Pre-Assessment Estimator'!$A$10:$Z$226,F$2,FALSE)</f>
        <v>1</v>
      </c>
      <c r="G143" s="580" t="str">
        <f>IF(VLOOKUP($A143,'Pre-Assessment Estimator'!$A$10:$Z$226,G$2,FALSE)=0,"",VLOOKUP($A143,'Pre-Assessment Estimator'!$A$10:$Z$226,G$2,FALSE))</f>
        <v/>
      </c>
      <c r="H143" s="1220">
        <f>VLOOKUP($A143,'Pre-Assessment Estimator'!$A$10:$Z$226,H$2,FALSE)</f>
        <v>0</v>
      </c>
      <c r="I143" s="576" t="str">
        <f>VLOOKUP($A143,'Pre-Assessment Estimator'!$A$10:$Z$226,I$2,FALSE)</f>
        <v>Very Good</v>
      </c>
      <c r="J143" s="577" t="str">
        <f>IF(VLOOKUP($A143,'Pre-Assessment Estimator'!$A$10:$Z$226,J$2,FALSE)=0,"",VLOOKUP($A143,'Pre-Assessment Estimator'!$A$10:$Z$226,J$2,FALSE))</f>
        <v/>
      </c>
      <c r="K143" s="577" t="str">
        <f>IF(VLOOKUP($A143,'Pre-Assessment Estimator'!$A$10:$Z$226,K$2,FALSE)=0,"",VLOOKUP($A143,'Pre-Assessment Estimator'!$A$10:$Z$226,K$2,FALSE))</f>
        <v/>
      </c>
      <c r="L143" s="578" t="str">
        <f>IF(VLOOKUP($A143,'Pre-Assessment Estimator'!$A$10:$Z$226,L$2,FALSE)=0,"",VLOOKUP($A143,'Pre-Assessment Estimator'!$A$10:$Z$226,L$2,FALSE))</f>
        <v/>
      </c>
      <c r="M143" s="579"/>
      <c r="N143" s="580" t="str">
        <f>IF(VLOOKUP($A143,'Pre-Assessment Estimator'!$A$10:$Z$226,N$2,FALSE)=0,"",VLOOKUP($A143,'Pre-Assessment Estimator'!$A$10:$Z$226,N$2,FALSE))</f>
        <v/>
      </c>
      <c r="O143" s="575">
        <f>VLOOKUP($A143,'Pre-Assessment Estimator'!$A$10:$Z$226,O$2,FALSE)</f>
        <v>0</v>
      </c>
      <c r="P143" s="574" t="str">
        <f>VLOOKUP($A143,'Pre-Assessment Estimator'!$A$10:$Z$226,P$2,FALSE)</f>
        <v>Very Good</v>
      </c>
      <c r="Q143" s="577" t="str">
        <f>IF(VLOOKUP($A143,'Pre-Assessment Estimator'!$A$10:$Z$226,Q$2,FALSE)=0,"",VLOOKUP($A143,'Pre-Assessment Estimator'!$A$10:$Z$226,Q$2,FALSE))</f>
        <v/>
      </c>
      <c r="R143" s="577" t="str">
        <f>IF(VLOOKUP($A143,'Pre-Assessment Estimator'!$A$10:$Z$226,R$2,FALSE)=0,"",VLOOKUP($A143,'Pre-Assessment Estimator'!$A$10:$Z$226,R$2,FALSE))</f>
        <v/>
      </c>
      <c r="S143" s="578" t="str">
        <f>IF(VLOOKUP($A143,'Pre-Assessment Estimator'!$A$10:$Z$226,S$2,FALSE)=0,"",VLOOKUP($A143,'Pre-Assessment Estimator'!$A$10:$Z$226,S$2,FALSE))</f>
        <v/>
      </c>
      <c r="T143" s="581"/>
      <c r="U143" s="580" t="str">
        <f>IF(VLOOKUP($A143,'Pre-Assessment Estimator'!$A$10:$Z$226,U$2,FALSE)=0,"",VLOOKUP($A143,'Pre-Assessment Estimator'!$A$10:$Z$226,U$2,FALSE))</f>
        <v/>
      </c>
      <c r="V143" s="575">
        <f>VLOOKUP($A143,'Pre-Assessment Estimator'!$A$10:$Z$226,V$2,FALSE)</f>
        <v>0</v>
      </c>
      <c r="W143" s="574" t="str">
        <f>VLOOKUP($A143,'Pre-Assessment Estimator'!$A$10:$Z$226,W$2,FALSE)</f>
        <v>Very Good</v>
      </c>
      <c r="X143" s="577" t="str">
        <f>IF(VLOOKUP($A143,'Pre-Assessment Estimator'!$A$10:$Z$226,X$2,FALSE)=0,"",VLOOKUP($A143,'Pre-Assessment Estimator'!$A$10:$Z$226,X$2,FALSE))</f>
        <v/>
      </c>
      <c r="Y143" s="577" t="str">
        <f>IF(VLOOKUP($A143,'Pre-Assessment Estimator'!$A$10:$Z$226,Y$2,FALSE)=0,"",VLOOKUP($A143,'Pre-Assessment Estimator'!$A$10:$Z$226,Y$2,FALSE))</f>
        <v/>
      </c>
      <c r="Z143" s="370" t="str">
        <f>IF(VLOOKUP($A143,'Pre-Assessment Estimator'!$A$10:$Z$226,Z$2,FALSE)=0,"",VLOOKUP($A143,'Pre-Assessment Estimator'!$A$10:$Z$226,Z$2,FALSE))</f>
        <v/>
      </c>
      <c r="AA143" s="696">
        <v>133</v>
      </c>
      <c r="AB143" s="577" t="str">
        <f>IF(VLOOKUP($A143,'Pre-Assessment Estimator'!$A$10:$AB$226,AB$2,FALSE)=0,"",VLOOKUP($A143,'Pre-Assessment Estimator'!$A$10:$AB$226,AB$2,FALSE))</f>
        <v/>
      </c>
      <c r="AF143" s="386">
        <f t="shared" si="2"/>
        <v>1</v>
      </c>
    </row>
    <row r="144" spans="1:32" ht="30" x14ac:dyDescent="0.25">
      <c r="A144" s="823">
        <v>135</v>
      </c>
      <c r="B144" s="1234" t="s">
        <v>68</v>
      </c>
      <c r="C144" s="1234"/>
      <c r="D144" s="1257" t="str">
        <f>VLOOKUP($A144,'Pre-Assessment Estimator'!$A$10:$Z$226,D$2,FALSE)</f>
        <v>Mat 07</v>
      </c>
      <c r="E144" s="1258" t="str">
        <f>VLOOKUP($A144,'Pre-Assessment Estimator'!$A$10:$Z$226,E$2,FALSE)</f>
        <v>Disassembly and functional adaptability - implementation (EU taxonomy requirement: criterion 4-6)</v>
      </c>
      <c r="F144" s="574">
        <f>VLOOKUP($A144,'Pre-Assessment Estimator'!$A$10:$Z$226,F$2,FALSE)</f>
        <v>1</v>
      </c>
      <c r="G144" s="580" t="str">
        <f>IF(VLOOKUP($A144,'Pre-Assessment Estimator'!$A$10:$Z$226,G$2,FALSE)=0,"",VLOOKUP($A144,'Pre-Assessment Estimator'!$A$10:$Z$226,G$2,FALSE))</f>
        <v/>
      </c>
      <c r="H144" s="1220">
        <f>VLOOKUP($A144,'Pre-Assessment Estimator'!$A$10:$Z$226,H$2,FALSE)</f>
        <v>0</v>
      </c>
      <c r="I144" s="576" t="str">
        <f>VLOOKUP($A144,'Pre-Assessment Estimator'!$A$10:$Z$226,I$2,FALSE)</f>
        <v>Very Good</v>
      </c>
      <c r="J144" s="577" t="str">
        <f>IF(VLOOKUP($A144,'Pre-Assessment Estimator'!$A$10:$Z$226,J$2,FALSE)=0,"",VLOOKUP($A144,'Pre-Assessment Estimator'!$A$10:$Z$226,J$2,FALSE))</f>
        <v/>
      </c>
      <c r="K144" s="577" t="str">
        <f>IF(VLOOKUP($A144,'Pre-Assessment Estimator'!$A$10:$Z$226,K$2,FALSE)=0,"",VLOOKUP($A144,'Pre-Assessment Estimator'!$A$10:$Z$226,K$2,FALSE))</f>
        <v/>
      </c>
      <c r="L144" s="578" t="str">
        <f>IF(VLOOKUP($A144,'Pre-Assessment Estimator'!$A$10:$Z$226,L$2,FALSE)=0,"",VLOOKUP($A144,'Pre-Assessment Estimator'!$A$10:$Z$226,L$2,FALSE))</f>
        <v/>
      </c>
      <c r="M144" s="579"/>
      <c r="N144" s="580" t="str">
        <f>IF(VLOOKUP($A144,'Pre-Assessment Estimator'!$A$10:$Z$226,N$2,FALSE)=0,"",VLOOKUP($A144,'Pre-Assessment Estimator'!$A$10:$Z$226,N$2,FALSE))</f>
        <v/>
      </c>
      <c r="O144" s="575">
        <f>VLOOKUP($A144,'Pre-Assessment Estimator'!$A$10:$Z$226,O$2,FALSE)</f>
        <v>0</v>
      </c>
      <c r="P144" s="574" t="str">
        <f>VLOOKUP($A144,'Pre-Assessment Estimator'!$A$10:$Z$226,P$2,FALSE)</f>
        <v>Very Good</v>
      </c>
      <c r="Q144" s="577" t="str">
        <f>IF(VLOOKUP($A144,'Pre-Assessment Estimator'!$A$10:$Z$226,Q$2,FALSE)=0,"",VLOOKUP($A144,'Pre-Assessment Estimator'!$A$10:$Z$226,Q$2,FALSE))</f>
        <v/>
      </c>
      <c r="R144" s="577" t="str">
        <f>IF(VLOOKUP($A144,'Pre-Assessment Estimator'!$A$10:$Z$226,R$2,FALSE)=0,"",VLOOKUP($A144,'Pre-Assessment Estimator'!$A$10:$Z$226,R$2,FALSE))</f>
        <v/>
      </c>
      <c r="S144" s="578" t="str">
        <f>IF(VLOOKUP($A144,'Pre-Assessment Estimator'!$A$10:$Z$226,S$2,FALSE)=0,"",VLOOKUP($A144,'Pre-Assessment Estimator'!$A$10:$Z$226,S$2,FALSE))</f>
        <v/>
      </c>
      <c r="T144" s="581"/>
      <c r="U144" s="580" t="str">
        <f>IF(VLOOKUP($A144,'Pre-Assessment Estimator'!$A$10:$Z$226,U$2,FALSE)=0,"",VLOOKUP($A144,'Pre-Assessment Estimator'!$A$10:$Z$226,U$2,FALSE))</f>
        <v/>
      </c>
      <c r="V144" s="575">
        <f>VLOOKUP($A144,'Pre-Assessment Estimator'!$A$10:$Z$226,V$2,FALSE)</f>
        <v>0</v>
      </c>
      <c r="W144" s="574" t="str">
        <f>VLOOKUP($A144,'Pre-Assessment Estimator'!$A$10:$Z$226,W$2,FALSE)</f>
        <v>Very Good</v>
      </c>
      <c r="X144" s="577" t="str">
        <f>IF(VLOOKUP($A144,'Pre-Assessment Estimator'!$A$10:$Z$226,X$2,FALSE)=0,"",VLOOKUP($A144,'Pre-Assessment Estimator'!$A$10:$Z$226,X$2,FALSE))</f>
        <v/>
      </c>
      <c r="Y144" s="577" t="str">
        <f>IF(VLOOKUP($A144,'Pre-Assessment Estimator'!$A$10:$Z$226,Y$2,FALSE)=0,"",VLOOKUP($A144,'Pre-Assessment Estimator'!$A$10:$Z$226,Y$2,FALSE))</f>
        <v/>
      </c>
      <c r="Z144" s="370" t="str">
        <f>IF(VLOOKUP($A144,'Pre-Assessment Estimator'!$A$10:$Z$226,Z$2,FALSE)=0,"",VLOOKUP($A144,'Pre-Assessment Estimator'!$A$10:$Z$226,Z$2,FALSE))</f>
        <v/>
      </c>
      <c r="AA144" s="696">
        <v>134</v>
      </c>
      <c r="AB144" s="585" t="str">
        <f>IF(VLOOKUP($A144,'Pre-Assessment Estimator'!$A$10:$AB$226,AB$2,FALSE)=0,"",VLOOKUP($A144,'Pre-Assessment Estimator'!$A$10:$AB$226,AB$2,FALSE))</f>
        <v/>
      </c>
      <c r="AC144" s="389"/>
      <c r="AD144" s="389"/>
      <c r="AE144" s="389"/>
      <c r="AF144" s="386">
        <f t="shared" si="2"/>
        <v>1</v>
      </c>
    </row>
    <row r="145" spans="1:32" ht="30" customHeight="1" thickBot="1" x14ac:dyDescent="0.3">
      <c r="A145" s="823">
        <v>136</v>
      </c>
      <c r="B145" s="1234" t="s">
        <v>69</v>
      </c>
      <c r="C145" s="1234"/>
      <c r="D145" s="1259"/>
      <c r="E145" s="1259" t="str">
        <f>VLOOKUP($A145,'Pre-Assessment Estimator'!$A$10:$Z$226,E$2,FALSE)</f>
        <v>Total performance materials</v>
      </c>
      <c r="F145" s="582">
        <f>VLOOKUP($A145,'Pre-Assessment Estimator'!$A$10:$Z$226,F$2,FALSE)</f>
        <v>21</v>
      </c>
      <c r="G145" s="584" t="str">
        <f>IF(VLOOKUP($A145,'Pre-Assessment Estimator'!$A$10:$Z$226,G$2,FALSE)=0,"",VLOOKUP($A145,'Pre-Assessment Estimator'!$A$10:$Z$226,G$2,FALSE))</f>
        <v/>
      </c>
      <c r="H145" s="583">
        <f>VLOOKUP($A145,'Pre-Assessment Estimator'!$A$10:$Z$226,H$2,FALSE)</f>
        <v>0</v>
      </c>
      <c r="I145" s="582" t="str">
        <f>VLOOKUP($A145,'Pre-Assessment Estimator'!$A$10:$Z$226,I$2,FALSE)</f>
        <v>Credits achieved: 0</v>
      </c>
      <c r="J145" s="1202" t="str">
        <f>IF(VLOOKUP($A145,'Pre-Assessment Estimator'!$A$10:$Z$226,J$2,FALSE)=0,"",VLOOKUP($A145,'Pre-Assessment Estimator'!$A$10:$Z$226,J$2,FALSE))</f>
        <v/>
      </c>
      <c r="K145" s="1202" t="str">
        <f>IF(VLOOKUP($A145,'Pre-Assessment Estimator'!$A$10:$Z$226,K$2,FALSE)=0,"",VLOOKUP($A145,'Pre-Assessment Estimator'!$A$10:$Z$226,K$2,FALSE))</f>
        <v/>
      </c>
      <c r="L145" s="1221" t="str">
        <f>IF(VLOOKUP($A145,'Pre-Assessment Estimator'!$A$10:$Z$226,L$2,FALSE)=0,"",VLOOKUP($A145,'Pre-Assessment Estimator'!$A$10:$Z$226,L$2,FALSE))</f>
        <v/>
      </c>
      <c r="M145" s="1222"/>
      <c r="N145" s="584" t="str">
        <f>IF(VLOOKUP($A145,'Pre-Assessment Estimator'!$A$10:$Z$226,N$2,FALSE)=0,"",VLOOKUP($A145,'Pre-Assessment Estimator'!$A$10:$Z$226,N$2,FALSE))</f>
        <v/>
      </c>
      <c r="O145" s="583">
        <f>VLOOKUP($A145,'Pre-Assessment Estimator'!$A$10:$Z$226,O$2,FALSE)</f>
        <v>0</v>
      </c>
      <c r="P145" s="582" t="str">
        <f>VLOOKUP($A145,'Pre-Assessment Estimator'!$A$10:$Z$226,P$2,FALSE)</f>
        <v>Credits achieved: 0</v>
      </c>
      <c r="Q145" s="1202" t="str">
        <f>IF(VLOOKUP($A145,'Pre-Assessment Estimator'!$A$10:$Z$226,Q$2,FALSE)=0,"",VLOOKUP($A145,'Pre-Assessment Estimator'!$A$10:$Z$226,Q$2,FALSE))</f>
        <v/>
      </c>
      <c r="R145" s="1202" t="str">
        <f>IF(VLOOKUP($A145,'Pre-Assessment Estimator'!$A$10:$Z$226,R$2,FALSE)=0,"",VLOOKUP($A145,'Pre-Assessment Estimator'!$A$10:$Z$226,R$2,FALSE))</f>
        <v/>
      </c>
      <c r="S145" s="1221" t="str">
        <f>IF(VLOOKUP($A145,'Pre-Assessment Estimator'!$A$10:$Z$226,S$2,FALSE)=0,"",VLOOKUP($A145,'Pre-Assessment Estimator'!$A$10:$Z$226,S$2,FALSE))</f>
        <v/>
      </c>
      <c r="T145" s="1223"/>
      <c r="U145" s="584" t="str">
        <f>IF(VLOOKUP($A145,'Pre-Assessment Estimator'!$A$10:$Z$226,U$2,FALSE)=0,"",VLOOKUP($A145,'Pre-Assessment Estimator'!$A$10:$Z$226,U$2,FALSE))</f>
        <v/>
      </c>
      <c r="V145" s="583">
        <f>VLOOKUP($A145,'Pre-Assessment Estimator'!$A$10:$Z$226,V$2,FALSE)</f>
        <v>0</v>
      </c>
      <c r="W145" s="582" t="str">
        <f>VLOOKUP($A145,'Pre-Assessment Estimator'!$A$10:$Z$226,W$2,FALSE)</f>
        <v>Credits achieved: 0</v>
      </c>
      <c r="X145" s="1202" t="str">
        <f>IF(VLOOKUP($A145,'Pre-Assessment Estimator'!$A$10:$Z$226,X$2,FALSE)=0,"",VLOOKUP($A145,'Pre-Assessment Estimator'!$A$10:$Z$226,X$2,FALSE))</f>
        <v/>
      </c>
      <c r="Y145" s="1202" t="str">
        <f>IF(VLOOKUP($A145,'Pre-Assessment Estimator'!$A$10:$Z$226,Y$2,FALSE)=0,"",VLOOKUP($A145,'Pre-Assessment Estimator'!$A$10:$Z$226,Y$2,FALSE))</f>
        <v/>
      </c>
      <c r="Z145" s="1224" t="str">
        <f>IF(VLOOKUP($A145,'Pre-Assessment Estimator'!$A$10:$Z$226,Z$2,FALSE)=0,"",VLOOKUP($A145,'Pre-Assessment Estimator'!$A$10:$Z$226,Z$2,FALSE))</f>
        <v/>
      </c>
      <c r="AA145" s="696">
        <v>135</v>
      </c>
      <c r="AB145" s="697" t="str">
        <f>IF(VLOOKUP($A145,'Pre-Assessment Estimator'!$A$10:$AB$226,AB$2,FALSE)=0,"",VLOOKUP($A145,'Pre-Assessment Estimator'!$A$10:$AB$226,AB$2,FALSE))</f>
        <v/>
      </c>
      <c r="AF145" s="386">
        <f t="shared" si="2"/>
        <v>1</v>
      </c>
    </row>
    <row r="146" spans="1:32" x14ac:dyDescent="0.25">
      <c r="A146" s="823">
        <v>137</v>
      </c>
      <c r="B146" s="1234" t="s">
        <v>69</v>
      </c>
      <c r="C146" s="1234"/>
      <c r="D146" s="585"/>
      <c r="E146" s="585"/>
      <c r="F146" s="586"/>
      <c r="G146" s="586"/>
      <c r="H146" s="586"/>
      <c r="I146" s="586"/>
      <c r="J146" s="585"/>
      <c r="K146" s="586"/>
      <c r="L146" s="585"/>
      <c r="M146" s="579"/>
      <c r="N146" s="586"/>
      <c r="O146" s="586"/>
      <c r="P146" s="586"/>
      <c r="Q146" s="585"/>
      <c r="R146" s="586"/>
      <c r="S146" s="585"/>
      <c r="T146" s="581"/>
      <c r="U146" s="586"/>
      <c r="V146" s="586"/>
      <c r="W146" s="586"/>
      <c r="X146" s="585"/>
      <c r="Y146" s="586"/>
      <c r="Z146" s="343"/>
      <c r="AA146" s="696">
        <v>136</v>
      </c>
      <c r="AB146" s="577" t="str">
        <f>IF(VLOOKUP($A146,'Pre-Assessment Estimator'!$A$10:$AB$226,AB$2,FALSE)=0,"",VLOOKUP($A146,'Pre-Assessment Estimator'!$A$10:$AB$226,AB$2,FALSE))</f>
        <v/>
      </c>
      <c r="AF146" s="386">
        <f t="shared" ref="AF146:AF210" si="3">IF(F146="",1,IF(F146=0,2,1))</f>
        <v>1</v>
      </c>
    </row>
    <row r="147" spans="1:32" ht="18.75" x14ac:dyDescent="0.25">
      <c r="A147" s="823">
        <v>138</v>
      </c>
      <c r="B147" s="1234" t="s">
        <v>69</v>
      </c>
      <c r="C147" s="1234"/>
      <c r="D147" s="587"/>
      <c r="E147" s="587" t="s">
        <v>69</v>
      </c>
      <c r="F147" s="570"/>
      <c r="G147" s="570"/>
      <c r="H147" s="570"/>
      <c r="I147" s="570"/>
      <c r="J147" s="571"/>
      <c r="K147" s="570"/>
      <c r="L147" s="571"/>
      <c r="M147" s="579"/>
      <c r="N147" s="570"/>
      <c r="O147" s="570"/>
      <c r="P147" s="570"/>
      <c r="Q147" s="571"/>
      <c r="R147" s="570"/>
      <c r="S147" s="571"/>
      <c r="T147" s="581"/>
      <c r="U147" s="570"/>
      <c r="V147" s="570"/>
      <c r="W147" s="570"/>
      <c r="X147" s="571"/>
      <c r="Y147" s="570"/>
      <c r="Z147" s="411"/>
      <c r="AA147" s="696">
        <v>137</v>
      </c>
      <c r="AB147" s="577"/>
      <c r="AF147" s="386">
        <f t="shared" si="3"/>
        <v>1</v>
      </c>
    </row>
    <row r="148" spans="1:32" x14ac:dyDescent="0.25">
      <c r="A148" s="823">
        <v>139</v>
      </c>
      <c r="B148" s="1234" t="s">
        <v>69</v>
      </c>
      <c r="C148" s="1234"/>
      <c r="D148" s="1256" t="str">
        <f>VLOOKUP($A148,'Pre-Assessment Estimator'!$A$10:$Z$226,D$2,FALSE)</f>
        <v>Wst 01</v>
      </c>
      <c r="E148" s="1256" t="str">
        <f>VLOOKUP($A148,'Pre-Assessment Estimator'!$A$10:$Z$226,E$2,FALSE)</f>
        <v>Wst 01 Construction waste management</v>
      </c>
      <c r="F148" s="574">
        <f>VLOOKUP($A148,'Pre-Assessment Estimator'!$A$10:$Z$226,F$2,FALSE)</f>
        <v>5</v>
      </c>
      <c r="G148" s="580" t="str">
        <f>IF(VLOOKUP($A148,'Pre-Assessment Estimator'!$A$10:$Z$226,G$2,FALSE)=0,"",VLOOKUP($A148,'Pre-Assessment Estimator'!$A$10:$Z$226,G$2,FALSE))</f>
        <v/>
      </c>
      <c r="H148" s="1220" t="str">
        <f>VLOOKUP($A148,'Pre-Assessment Estimator'!$A$10:$Z$226,H$2,FALSE)</f>
        <v>0 c. 0 %</v>
      </c>
      <c r="I148" s="576" t="str">
        <f>VLOOKUP($A148,'Pre-Assessment Estimator'!$A$10:$Z$226,I$2,FALSE)</f>
        <v>N/A</v>
      </c>
      <c r="J148" s="577" t="str">
        <f>IF(VLOOKUP($A148,'Pre-Assessment Estimator'!$A$10:$Z$226,J$2,FALSE)=0,"",VLOOKUP($A148,'Pre-Assessment Estimator'!$A$10:$Z$226,J$2,FALSE))</f>
        <v/>
      </c>
      <c r="K148" s="577" t="str">
        <f>IF(VLOOKUP($A148,'Pre-Assessment Estimator'!$A$10:$Z$226,K$2,FALSE)=0,"",VLOOKUP($A148,'Pre-Assessment Estimator'!$A$10:$Z$226,K$2,FALSE))</f>
        <v/>
      </c>
      <c r="L148" s="578" t="str">
        <f>IF(VLOOKUP($A148,'Pre-Assessment Estimator'!$A$10:$Z$226,L$2,FALSE)=0,"",VLOOKUP($A148,'Pre-Assessment Estimator'!$A$10:$Z$226,L$2,FALSE))</f>
        <v/>
      </c>
      <c r="M148" s="579"/>
      <c r="N148" s="580" t="str">
        <f>IF(VLOOKUP($A148,'Pre-Assessment Estimator'!$A$10:$Z$226,N$2,FALSE)=0,"",VLOOKUP($A148,'Pre-Assessment Estimator'!$A$10:$Z$226,N$2,FALSE))</f>
        <v/>
      </c>
      <c r="O148" s="575" t="str">
        <f>VLOOKUP($A148,'Pre-Assessment Estimator'!$A$10:$Z$226,O$2,FALSE)</f>
        <v>0 c. 0 %</v>
      </c>
      <c r="P148" s="574" t="str">
        <f>VLOOKUP($A148,'Pre-Assessment Estimator'!$A$10:$Z$226,P$2,FALSE)</f>
        <v>N/A</v>
      </c>
      <c r="Q148" s="577" t="str">
        <f>IF(VLOOKUP($A148,'Pre-Assessment Estimator'!$A$10:$Z$226,Q$2,FALSE)=0,"",VLOOKUP($A148,'Pre-Assessment Estimator'!$A$10:$Z$226,Q$2,FALSE))</f>
        <v/>
      </c>
      <c r="R148" s="577" t="str">
        <f>IF(VLOOKUP($A148,'Pre-Assessment Estimator'!$A$10:$Z$226,R$2,FALSE)=0,"",VLOOKUP($A148,'Pre-Assessment Estimator'!$A$10:$Z$226,R$2,FALSE))</f>
        <v/>
      </c>
      <c r="S148" s="578" t="str">
        <f>IF(VLOOKUP($A148,'Pre-Assessment Estimator'!$A$10:$Z$226,S$2,FALSE)=0,"",VLOOKUP($A148,'Pre-Assessment Estimator'!$A$10:$Z$226,S$2,FALSE))</f>
        <v/>
      </c>
      <c r="T148" s="581"/>
      <c r="U148" s="580" t="str">
        <f>IF(VLOOKUP($A148,'Pre-Assessment Estimator'!$A$10:$Z$226,U$2,FALSE)=0,"",VLOOKUP($A148,'Pre-Assessment Estimator'!$A$10:$Z$226,U$2,FALSE))</f>
        <v/>
      </c>
      <c r="V148" s="575" t="str">
        <f>VLOOKUP($A148,'Pre-Assessment Estimator'!$A$10:$Z$226,V$2,FALSE)</f>
        <v>0 c. 0 %</v>
      </c>
      <c r="W148" s="574" t="str">
        <f>VLOOKUP($A148,'Pre-Assessment Estimator'!$A$10:$Z$226,W$2,FALSE)</f>
        <v>N/A</v>
      </c>
      <c r="X148" s="577" t="str">
        <f>IF(VLOOKUP($A148,'Pre-Assessment Estimator'!$A$10:$Z$226,X$2,FALSE)=0,"",VLOOKUP($A148,'Pre-Assessment Estimator'!$A$10:$Z$226,X$2,FALSE))</f>
        <v/>
      </c>
      <c r="Y148" s="577" t="str">
        <f>IF(VLOOKUP($A148,'Pre-Assessment Estimator'!$A$10:$Z$226,Y$2,FALSE)=0,"",VLOOKUP($A148,'Pre-Assessment Estimator'!$A$10:$Z$226,Y$2,FALSE))</f>
        <v/>
      </c>
      <c r="Z148" s="370" t="str">
        <f>IF(VLOOKUP($A148,'Pre-Assessment Estimator'!$A$10:$Z$226,Z$2,FALSE)=0,"",VLOOKUP($A148,'Pre-Assessment Estimator'!$A$10:$Z$226,Z$2,FALSE))</f>
        <v/>
      </c>
      <c r="AA148" s="696">
        <v>138</v>
      </c>
      <c r="AB148" s="577"/>
      <c r="AF148" s="386">
        <f t="shared" si="3"/>
        <v>1</v>
      </c>
    </row>
    <row r="149" spans="1:32" x14ac:dyDescent="0.25">
      <c r="A149" s="823">
        <v>140</v>
      </c>
      <c r="B149" s="1234" t="s">
        <v>69</v>
      </c>
      <c r="C149" s="1234"/>
      <c r="D149" s="1257" t="str">
        <f>VLOOKUP($A149,'Pre-Assessment Estimator'!$A$10:$Z$226,D$2,FALSE)</f>
        <v>Wst 01</v>
      </c>
      <c r="E149" s="1258" t="str">
        <f>VLOOKUP($A149,'Pre-Assessment Estimator'!$A$10:$Z$226,E$2,FALSE)</f>
        <v>Resource managment plan</v>
      </c>
      <c r="F149" s="574">
        <f>VLOOKUP($A149,'Pre-Assessment Estimator'!$A$10:$Z$226,F$2,FALSE)</f>
        <v>1</v>
      </c>
      <c r="G149" s="580" t="str">
        <f>IF(VLOOKUP($A149,'Pre-Assessment Estimator'!$A$10:$Z$226,G$2,FALSE)=0,"",VLOOKUP($A149,'Pre-Assessment Estimator'!$A$10:$Z$226,G$2,FALSE))</f>
        <v/>
      </c>
      <c r="H149" s="1220">
        <f>VLOOKUP($A149,'Pre-Assessment Estimator'!$A$10:$Z$226,H$2,FALSE)</f>
        <v>0</v>
      </c>
      <c r="I149" s="576" t="str">
        <f>VLOOKUP($A149,'Pre-Assessment Estimator'!$A$10:$Z$226,I$2,FALSE)</f>
        <v>Good</v>
      </c>
      <c r="J149" s="577" t="str">
        <f>IF(VLOOKUP($A149,'Pre-Assessment Estimator'!$A$10:$Z$226,J$2,FALSE)=0,"",VLOOKUP($A149,'Pre-Assessment Estimator'!$A$10:$Z$226,J$2,FALSE))</f>
        <v/>
      </c>
      <c r="K149" s="577" t="str">
        <f>IF(VLOOKUP($A149,'Pre-Assessment Estimator'!$A$10:$Z$226,K$2,FALSE)=0,"",VLOOKUP($A149,'Pre-Assessment Estimator'!$A$10:$Z$226,K$2,FALSE))</f>
        <v/>
      </c>
      <c r="L149" s="578" t="str">
        <f>IF(VLOOKUP($A149,'Pre-Assessment Estimator'!$A$10:$Z$226,L$2,FALSE)=0,"",VLOOKUP($A149,'Pre-Assessment Estimator'!$A$10:$Z$226,L$2,FALSE))</f>
        <v/>
      </c>
      <c r="M149" s="579"/>
      <c r="N149" s="580" t="str">
        <f>IF(VLOOKUP($A149,'Pre-Assessment Estimator'!$A$10:$Z$226,N$2,FALSE)=0,"",VLOOKUP($A149,'Pre-Assessment Estimator'!$A$10:$Z$226,N$2,FALSE))</f>
        <v/>
      </c>
      <c r="O149" s="575">
        <f>VLOOKUP($A149,'Pre-Assessment Estimator'!$A$10:$Z$226,O$2,FALSE)</f>
        <v>0</v>
      </c>
      <c r="P149" s="574" t="str">
        <f>VLOOKUP($A149,'Pre-Assessment Estimator'!$A$10:$Z$226,P$2,FALSE)</f>
        <v>Good</v>
      </c>
      <c r="Q149" s="577" t="str">
        <f>IF(VLOOKUP($A149,'Pre-Assessment Estimator'!$A$10:$Z$226,Q$2,FALSE)=0,"",VLOOKUP($A149,'Pre-Assessment Estimator'!$A$10:$Z$226,Q$2,FALSE))</f>
        <v/>
      </c>
      <c r="R149" s="577" t="str">
        <f>IF(VLOOKUP($A149,'Pre-Assessment Estimator'!$A$10:$Z$226,R$2,FALSE)=0,"",VLOOKUP($A149,'Pre-Assessment Estimator'!$A$10:$Z$226,R$2,FALSE))</f>
        <v/>
      </c>
      <c r="S149" s="578" t="str">
        <f>IF(VLOOKUP($A149,'Pre-Assessment Estimator'!$A$10:$Z$226,S$2,FALSE)=0,"",VLOOKUP($A149,'Pre-Assessment Estimator'!$A$10:$Z$226,S$2,FALSE))</f>
        <v/>
      </c>
      <c r="T149" s="581"/>
      <c r="U149" s="580" t="str">
        <f>IF(VLOOKUP($A149,'Pre-Assessment Estimator'!$A$10:$Z$226,U$2,FALSE)=0,"",VLOOKUP($A149,'Pre-Assessment Estimator'!$A$10:$Z$226,U$2,FALSE))</f>
        <v/>
      </c>
      <c r="V149" s="575">
        <f>VLOOKUP($A149,'Pre-Assessment Estimator'!$A$10:$Z$226,V$2,FALSE)</f>
        <v>0</v>
      </c>
      <c r="W149" s="574" t="str">
        <f>VLOOKUP($A149,'Pre-Assessment Estimator'!$A$10:$Z$226,W$2,FALSE)</f>
        <v>Good</v>
      </c>
      <c r="X149" s="577" t="str">
        <f>IF(VLOOKUP($A149,'Pre-Assessment Estimator'!$A$10:$Z$226,X$2,FALSE)=0,"",VLOOKUP($A149,'Pre-Assessment Estimator'!$A$10:$Z$226,X$2,FALSE))</f>
        <v/>
      </c>
      <c r="Y149" s="577" t="str">
        <f>IF(VLOOKUP($A149,'Pre-Assessment Estimator'!$A$10:$Z$226,Y$2,FALSE)=0,"",VLOOKUP($A149,'Pre-Assessment Estimator'!$A$10:$Z$226,Y$2,FALSE))</f>
        <v/>
      </c>
      <c r="Z149" s="370" t="str">
        <f>IF(VLOOKUP($A149,'Pre-Assessment Estimator'!$A$10:$Z$226,Z$2,FALSE)=0,"",VLOOKUP($A149,'Pre-Assessment Estimator'!$A$10:$Z$226,Z$2,FALSE))</f>
        <v/>
      </c>
      <c r="AA149" s="696">
        <v>139</v>
      </c>
      <c r="AB149" s="577"/>
      <c r="AF149" s="386">
        <f t="shared" si="3"/>
        <v>1</v>
      </c>
    </row>
    <row r="150" spans="1:32" x14ac:dyDescent="0.25">
      <c r="A150" s="823">
        <v>141</v>
      </c>
      <c r="B150" s="1234" t="s">
        <v>69</v>
      </c>
      <c r="C150" s="1234"/>
      <c r="D150" s="1257" t="str">
        <f>VLOOKUP($A150,'Pre-Assessment Estimator'!$A$10:$Z$226,D$2,FALSE)</f>
        <v>Wst 01</v>
      </c>
      <c r="E150" s="1260" t="str">
        <f>VLOOKUP($A150,'Pre-Assessment Estimator'!$A$10:$Z$226,E$2,FALSE)</f>
        <v>EU taxonomy requirement: criterion 1</v>
      </c>
      <c r="F150" s="574" t="str">
        <f>VLOOKUP($A150,'Pre-Assessment Estimator'!$A$10:$Z$226,F$2,FALSE)</f>
        <v>Yes/No</v>
      </c>
      <c r="G150" s="580" t="str">
        <f>IF(VLOOKUP($A150,'Pre-Assessment Estimator'!$A$10:$Z$226,G$2,FALSE)=0,"",VLOOKUP($A150,'Pre-Assessment Estimator'!$A$10:$Z$226,G$2,FALSE))</f>
        <v/>
      </c>
      <c r="H150" s="1220" t="str">
        <f>VLOOKUP($A150,'Pre-Assessment Estimator'!$A$10:$Z$226,H$2,FALSE)</f>
        <v>-</v>
      </c>
      <c r="I150" s="576" t="str">
        <f>VLOOKUP($A150,'Pre-Assessment Estimator'!$A$10:$Z$226,I$2,FALSE)</f>
        <v>N/A</v>
      </c>
      <c r="J150" s="577" t="str">
        <f>IF(VLOOKUP($A150,'Pre-Assessment Estimator'!$A$10:$Z$226,J$2,FALSE)=0,"",VLOOKUP($A150,'Pre-Assessment Estimator'!$A$10:$Z$226,J$2,FALSE))</f>
        <v/>
      </c>
      <c r="K150" s="577" t="str">
        <f>IF(VLOOKUP($A150,'Pre-Assessment Estimator'!$A$10:$Z$226,K$2,FALSE)=0,"",VLOOKUP($A150,'Pre-Assessment Estimator'!$A$10:$Z$226,K$2,FALSE))</f>
        <v/>
      </c>
      <c r="L150" s="578" t="str">
        <f>IF(VLOOKUP($A150,'Pre-Assessment Estimator'!$A$10:$Z$226,L$2,FALSE)=0,"",VLOOKUP($A150,'Pre-Assessment Estimator'!$A$10:$Z$226,L$2,FALSE))</f>
        <v/>
      </c>
      <c r="M150" s="579"/>
      <c r="N150" s="580" t="str">
        <f>IF(VLOOKUP($A150,'Pre-Assessment Estimator'!$A$10:$Z$226,N$2,FALSE)=0,"",VLOOKUP($A150,'Pre-Assessment Estimator'!$A$10:$Z$226,N$2,FALSE))</f>
        <v/>
      </c>
      <c r="O150" s="575" t="str">
        <f>VLOOKUP($A150,'Pre-Assessment Estimator'!$A$10:$Z$226,O$2,FALSE)</f>
        <v>-</v>
      </c>
      <c r="P150" s="574" t="str">
        <f>VLOOKUP($A150,'Pre-Assessment Estimator'!$A$10:$Z$226,P$2,FALSE)</f>
        <v>N/A</v>
      </c>
      <c r="Q150" s="577" t="str">
        <f>IF(VLOOKUP($A150,'Pre-Assessment Estimator'!$A$10:$Z$226,Q$2,FALSE)=0,"",VLOOKUP($A150,'Pre-Assessment Estimator'!$A$10:$Z$226,Q$2,FALSE))</f>
        <v/>
      </c>
      <c r="R150" s="577" t="str">
        <f>IF(VLOOKUP($A150,'Pre-Assessment Estimator'!$A$10:$Z$226,R$2,FALSE)=0,"",VLOOKUP($A150,'Pre-Assessment Estimator'!$A$10:$Z$226,R$2,FALSE))</f>
        <v/>
      </c>
      <c r="S150" s="578" t="str">
        <f>IF(VLOOKUP($A150,'Pre-Assessment Estimator'!$A$10:$Z$226,S$2,FALSE)=0,"",VLOOKUP($A150,'Pre-Assessment Estimator'!$A$10:$Z$226,S$2,FALSE))</f>
        <v/>
      </c>
      <c r="T150" s="581"/>
      <c r="U150" s="580" t="str">
        <f>IF(VLOOKUP($A150,'Pre-Assessment Estimator'!$A$10:$Z$226,U$2,FALSE)=0,"",VLOOKUP($A150,'Pre-Assessment Estimator'!$A$10:$Z$226,U$2,FALSE))</f>
        <v/>
      </c>
      <c r="V150" s="575" t="str">
        <f>VLOOKUP($A150,'Pre-Assessment Estimator'!$A$10:$Z$226,V$2,FALSE)</f>
        <v>-</v>
      </c>
      <c r="W150" s="574" t="str">
        <f>VLOOKUP($A150,'Pre-Assessment Estimator'!$A$10:$Z$226,W$2,FALSE)</f>
        <v>N/A</v>
      </c>
      <c r="X150" s="577" t="str">
        <f>IF(VLOOKUP($A150,'Pre-Assessment Estimator'!$A$10:$Z$226,X$2,FALSE)=0,"",VLOOKUP($A150,'Pre-Assessment Estimator'!$A$10:$Z$226,X$2,FALSE))</f>
        <v/>
      </c>
      <c r="Y150" s="577" t="str">
        <f>IF(VLOOKUP($A150,'Pre-Assessment Estimator'!$A$10:$Z$226,Y$2,FALSE)=0,"",VLOOKUP($A150,'Pre-Assessment Estimator'!$A$10:$Z$226,Y$2,FALSE))</f>
        <v/>
      </c>
      <c r="Z150" s="370" t="str">
        <f>IF(VLOOKUP($A150,'Pre-Assessment Estimator'!$A$10:$Z$226,Z$2,FALSE)=0,"",VLOOKUP($A150,'Pre-Assessment Estimator'!$A$10:$Z$226,Z$2,FALSE))</f>
        <v/>
      </c>
      <c r="AA150" s="696">
        <v>140</v>
      </c>
      <c r="AB150" s="577"/>
      <c r="AF150" s="386">
        <f t="shared" si="3"/>
        <v>1</v>
      </c>
    </row>
    <row r="151" spans="1:32" x14ac:dyDescent="0.25">
      <c r="A151" s="823">
        <v>142</v>
      </c>
      <c r="B151" s="1234" t="s">
        <v>69</v>
      </c>
      <c r="C151" s="1234"/>
      <c r="D151" s="1257" t="str">
        <f>VLOOKUP($A151,'Pre-Assessment Estimator'!$A$10:$Z$226,D$2,FALSE)</f>
        <v>Wst 01</v>
      </c>
      <c r="E151" s="1258" t="str">
        <f>VLOOKUP($A151,'Pre-Assessment Estimator'!$A$10:$Z$226,E$2,FALSE)</f>
        <v>Amount of construction waste</v>
      </c>
      <c r="F151" s="574">
        <f>VLOOKUP($A151,'Pre-Assessment Estimator'!$A$10:$Z$226,F$2,FALSE)</f>
        <v>2</v>
      </c>
      <c r="G151" s="580" t="str">
        <f>IF(VLOOKUP($A151,'Pre-Assessment Estimator'!$A$10:$Z$226,G$2,FALSE)=0,"",VLOOKUP($A151,'Pre-Assessment Estimator'!$A$10:$Z$226,G$2,FALSE))</f>
        <v/>
      </c>
      <c r="H151" s="1220">
        <f>VLOOKUP($A151,'Pre-Assessment Estimator'!$A$10:$Z$226,H$2,FALSE)</f>
        <v>0</v>
      </c>
      <c r="I151" s="576" t="str">
        <f>VLOOKUP($A151,'Pre-Assessment Estimator'!$A$10:$Z$226,I$2,FALSE)</f>
        <v>Excellent</v>
      </c>
      <c r="J151" s="577" t="str">
        <f>IF(VLOOKUP($A151,'Pre-Assessment Estimator'!$A$10:$Z$226,J$2,FALSE)=0,"",VLOOKUP($A151,'Pre-Assessment Estimator'!$A$10:$Z$226,J$2,FALSE))</f>
        <v/>
      </c>
      <c r="K151" s="577" t="str">
        <f>IF(VLOOKUP($A151,'Pre-Assessment Estimator'!$A$10:$Z$226,K$2,FALSE)=0,"",VLOOKUP($A151,'Pre-Assessment Estimator'!$A$10:$Z$226,K$2,FALSE))</f>
        <v/>
      </c>
      <c r="L151" s="578" t="str">
        <f>IF(VLOOKUP($A151,'Pre-Assessment Estimator'!$A$10:$Z$226,L$2,FALSE)=0,"",VLOOKUP($A151,'Pre-Assessment Estimator'!$A$10:$Z$226,L$2,FALSE))</f>
        <v/>
      </c>
      <c r="M151" s="579"/>
      <c r="N151" s="580" t="str">
        <f>IF(VLOOKUP($A151,'Pre-Assessment Estimator'!$A$10:$Z$226,N$2,FALSE)=0,"",VLOOKUP($A151,'Pre-Assessment Estimator'!$A$10:$Z$226,N$2,FALSE))</f>
        <v/>
      </c>
      <c r="O151" s="575">
        <f>VLOOKUP($A151,'Pre-Assessment Estimator'!$A$10:$Z$226,O$2,FALSE)</f>
        <v>0</v>
      </c>
      <c r="P151" s="574" t="str">
        <f>VLOOKUP($A151,'Pre-Assessment Estimator'!$A$10:$Z$226,P$2,FALSE)</f>
        <v>Excellent</v>
      </c>
      <c r="Q151" s="577" t="str">
        <f>IF(VLOOKUP($A151,'Pre-Assessment Estimator'!$A$10:$Z$226,Q$2,FALSE)=0,"",VLOOKUP($A151,'Pre-Assessment Estimator'!$A$10:$Z$226,Q$2,FALSE))</f>
        <v/>
      </c>
      <c r="R151" s="577" t="str">
        <f>IF(VLOOKUP($A151,'Pre-Assessment Estimator'!$A$10:$Z$226,R$2,FALSE)=0,"",VLOOKUP($A151,'Pre-Assessment Estimator'!$A$10:$Z$226,R$2,FALSE))</f>
        <v/>
      </c>
      <c r="S151" s="578" t="str">
        <f>IF(VLOOKUP($A151,'Pre-Assessment Estimator'!$A$10:$Z$226,S$2,FALSE)=0,"",VLOOKUP($A151,'Pre-Assessment Estimator'!$A$10:$Z$226,S$2,FALSE))</f>
        <v/>
      </c>
      <c r="T151" s="581"/>
      <c r="U151" s="580" t="str">
        <f>IF(VLOOKUP($A151,'Pre-Assessment Estimator'!$A$10:$Z$226,U$2,FALSE)=0,"",VLOOKUP($A151,'Pre-Assessment Estimator'!$A$10:$Z$226,U$2,FALSE))</f>
        <v/>
      </c>
      <c r="V151" s="575">
        <f>VLOOKUP($A151,'Pre-Assessment Estimator'!$A$10:$Z$226,V$2,FALSE)</f>
        <v>0</v>
      </c>
      <c r="W151" s="574" t="str">
        <f>VLOOKUP($A151,'Pre-Assessment Estimator'!$A$10:$Z$226,W$2,FALSE)</f>
        <v>Excellent</v>
      </c>
      <c r="X151" s="577" t="str">
        <f>IF(VLOOKUP($A151,'Pre-Assessment Estimator'!$A$10:$Z$226,X$2,FALSE)=0,"",VLOOKUP($A151,'Pre-Assessment Estimator'!$A$10:$Z$226,X$2,FALSE))</f>
        <v/>
      </c>
      <c r="Y151" s="577" t="str">
        <f>IF(VLOOKUP($A151,'Pre-Assessment Estimator'!$A$10:$Z$226,Y$2,FALSE)=0,"",VLOOKUP($A151,'Pre-Assessment Estimator'!$A$10:$Z$226,Y$2,FALSE))</f>
        <v/>
      </c>
      <c r="Z151" s="370" t="str">
        <f>IF(VLOOKUP($A151,'Pre-Assessment Estimator'!$A$10:$Z$226,Z$2,FALSE)=0,"",VLOOKUP($A151,'Pre-Assessment Estimator'!$A$10:$Z$226,Z$2,FALSE))</f>
        <v/>
      </c>
      <c r="AA151" s="696">
        <v>141</v>
      </c>
      <c r="AB151" s="577"/>
      <c r="AF151" s="386">
        <f t="shared" si="3"/>
        <v>1</v>
      </c>
    </row>
    <row r="152" spans="1:32" x14ac:dyDescent="0.25">
      <c r="A152" s="823">
        <v>143</v>
      </c>
      <c r="B152" s="1234" t="s">
        <v>69</v>
      </c>
      <c r="C152" s="1234"/>
      <c r="D152" s="1257" t="str">
        <f>VLOOKUP($A152,'Pre-Assessment Estimator'!$A$10:$Z$226,D$2,FALSE)</f>
        <v>Wst 01</v>
      </c>
      <c r="E152" s="1258" t="str">
        <f>VLOOKUP($A152,'Pre-Assessment Estimator'!$A$10:$Z$226,E$2,FALSE)</f>
        <v>Waste sorting, reuse and recycling</v>
      </c>
      <c r="F152" s="574">
        <f>VLOOKUP($A152,'Pre-Assessment Estimator'!$A$10:$Z$226,F$2,FALSE)</f>
        <v>2</v>
      </c>
      <c r="G152" s="580" t="str">
        <f>IF(VLOOKUP($A152,'Pre-Assessment Estimator'!$A$10:$Z$226,G$2,FALSE)=0,"",VLOOKUP($A152,'Pre-Assessment Estimator'!$A$10:$Z$226,G$2,FALSE))</f>
        <v/>
      </c>
      <c r="H152" s="1220">
        <f>VLOOKUP($A152,'Pre-Assessment Estimator'!$A$10:$Z$226,H$2,FALSE)</f>
        <v>0</v>
      </c>
      <c r="I152" s="576" t="str">
        <f>VLOOKUP($A152,'Pre-Assessment Estimator'!$A$10:$Z$226,I$2,FALSE)</f>
        <v>Very Good</v>
      </c>
      <c r="J152" s="577" t="str">
        <f>IF(VLOOKUP($A152,'Pre-Assessment Estimator'!$A$10:$Z$226,J$2,FALSE)=0,"",VLOOKUP($A152,'Pre-Assessment Estimator'!$A$10:$Z$226,J$2,FALSE))</f>
        <v/>
      </c>
      <c r="K152" s="577" t="str">
        <f>IF(VLOOKUP($A152,'Pre-Assessment Estimator'!$A$10:$Z$226,K$2,FALSE)=0,"",VLOOKUP($A152,'Pre-Assessment Estimator'!$A$10:$Z$226,K$2,FALSE))</f>
        <v/>
      </c>
      <c r="L152" s="578" t="str">
        <f>IF(VLOOKUP($A152,'Pre-Assessment Estimator'!$A$10:$Z$226,L$2,FALSE)=0,"",VLOOKUP($A152,'Pre-Assessment Estimator'!$A$10:$Z$226,L$2,FALSE))</f>
        <v/>
      </c>
      <c r="M152" s="579"/>
      <c r="N152" s="580" t="str">
        <f>IF(VLOOKUP($A152,'Pre-Assessment Estimator'!$A$10:$Z$226,N$2,FALSE)=0,"",VLOOKUP($A152,'Pre-Assessment Estimator'!$A$10:$Z$226,N$2,FALSE))</f>
        <v/>
      </c>
      <c r="O152" s="575">
        <f>VLOOKUP($A152,'Pre-Assessment Estimator'!$A$10:$Z$226,O$2,FALSE)</f>
        <v>0</v>
      </c>
      <c r="P152" s="574" t="str">
        <f>VLOOKUP($A152,'Pre-Assessment Estimator'!$A$10:$Z$226,P$2,FALSE)</f>
        <v>Very Good</v>
      </c>
      <c r="Q152" s="577" t="str">
        <f>IF(VLOOKUP($A152,'Pre-Assessment Estimator'!$A$10:$Z$226,Q$2,FALSE)=0,"",VLOOKUP($A152,'Pre-Assessment Estimator'!$A$10:$Z$226,Q$2,FALSE))</f>
        <v/>
      </c>
      <c r="R152" s="577" t="str">
        <f>IF(VLOOKUP($A152,'Pre-Assessment Estimator'!$A$10:$Z$226,R$2,FALSE)=0,"",VLOOKUP($A152,'Pre-Assessment Estimator'!$A$10:$Z$226,R$2,FALSE))</f>
        <v/>
      </c>
      <c r="S152" s="578" t="str">
        <f>IF(VLOOKUP($A152,'Pre-Assessment Estimator'!$A$10:$Z$226,S$2,FALSE)=0,"",VLOOKUP($A152,'Pre-Assessment Estimator'!$A$10:$Z$226,S$2,FALSE))</f>
        <v/>
      </c>
      <c r="T152" s="581"/>
      <c r="U152" s="580" t="str">
        <f>IF(VLOOKUP($A152,'Pre-Assessment Estimator'!$A$10:$Z$226,U$2,FALSE)=0,"",VLOOKUP($A152,'Pre-Assessment Estimator'!$A$10:$Z$226,U$2,FALSE))</f>
        <v/>
      </c>
      <c r="V152" s="575">
        <f>VLOOKUP($A152,'Pre-Assessment Estimator'!$A$10:$Z$226,V$2,FALSE)</f>
        <v>0</v>
      </c>
      <c r="W152" s="574" t="str">
        <f>VLOOKUP($A152,'Pre-Assessment Estimator'!$A$10:$Z$226,W$2,FALSE)</f>
        <v>Very Good</v>
      </c>
      <c r="X152" s="577" t="str">
        <f>IF(VLOOKUP($A152,'Pre-Assessment Estimator'!$A$10:$Z$226,X$2,FALSE)=0,"",VLOOKUP($A152,'Pre-Assessment Estimator'!$A$10:$Z$226,X$2,FALSE))</f>
        <v/>
      </c>
      <c r="Y152" s="577" t="str">
        <f>IF(VLOOKUP($A152,'Pre-Assessment Estimator'!$A$10:$Z$226,Y$2,FALSE)=0,"",VLOOKUP($A152,'Pre-Assessment Estimator'!$A$10:$Z$226,Y$2,FALSE))</f>
        <v/>
      </c>
      <c r="Z152" s="370" t="str">
        <f>IF(VLOOKUP($A152,'Pre-Assessment Estimator'!$A$10:$Z$226,Z$2,FALSE)=0,"",VLOOKUP($A152,'Pre-Assessment Estimator'!$A$10:$Z$226,Z$2,FALSE))</f>
        <v/>
      </c>
      <c r="AA152" s="696">
        <v>142</v>
      </c>
      <c r="AB152" s="577"/>
      <c r="AF152" s="386">
        <f t="shared" si="3"/>
        <v>1</v>
      </c>
    </row>
    <row r="153" spans="1:32" x14ac:dyDescent="0.25">
      <c r="A153" s="823">
        <v>144</v>
      </c>
      <c r="B153" s="1234" t="s">
        <v>69</v>
      </c>
      <c r="C153" s="1234"/>
      <c r="D153" s="1257" t="str">
        <f>VLOOKUP($A153,'Pre-Assessment Estimator'!$A$10:$Z$226,D$2,FALSE)</f>
        <v>Wst 01</v>
      </c>
      <c r="E153" s="1260" t="str">
        <f>VLOOKUP($A153,'Pre-Assessment Estimator'!$A$10:$Z$226,E$2,FALSE)</f>
        <v>EU taxonomy requirement: criterion 4, ready for reuse &gt;70%</v>
      </c>
      <c r="F153" s="574" t="str">
        <f>VLOOKUP($A153,'Pre-Assessment Estimator'!$A$10:$Z$226,F$2,FALSE)</f>
        <v>Yes/No</v>
      </c>
      <c r="G153" s="580" t="str">
        <f>IF(VLOOKUP($A153,'Pre-Assessment Estimator'!$A$10:$Z$226,G$2,FALSE)=0,"",VLOOKUP($A153,'Pre-Assessment Estimator'!$A$10:$Z$226,G$2,FALSE))</f>
        <v/>
      </c>
      <c r="H153" s="1220" t="str">
        <f>VLOOKUP($A153,'Pre-Assessment Estimator'!$A$10:$Z$226,H$2,FALSE)</f>
        <v>-</v>
      </c>
      <c r="I153" s="576" t="str">
        <f>VLOOKUP($A153,'Pre-Assessment Estimator'!$A$10:$Z$226,I$2,FALSE)</f>
        <v>Very Good</v>
      </c>
      <c r="J153" s="577" t="str">
        <f>IF(VLOOKUP($A153,'Pre-Assessment Estimator'!$A$10:$Z$226,J$2,FALSE)=0,"",VLOOKUP($A153,'Pre-Assessment Estimator'!$A$10:$Z$226,J$2,FALSE))</f>
        <v/>
      </c>
      <c r="K153" s="577" t="str">
        <f>IF(VLOOKUP($A153,'Pre-Assessment Estimator'!$A$10:$Z$226,K$2,FALSE)=0,"",VLOOKUP($A153,'Pre-Assessment Estimator'!$A$10:$Z$226,K$2,FALSE))</f>
        <v/>
      </c>
      <c r="L153" s="578" t="str">
        <f>IF(VLOOKUP($A153,'Pre-Assessment Estimator'!$A$10:$Z$226,L$2,FALSE)=0,"",VLOOKUP($A153,'Pre-Assessment Estimator'!$A$10:$Z$226,L$2,FALSE))</f>
        <v/>
      </c>
      <c r="M153" s="579"/>
      <c r="N153" s="580" t="str">
        <f>IF(VLOOKUP($A153,'Pre-Assessment Estimator'!$A$10:$Z$226,N$2,FALSE)=0,"",VLOOKUP($A153,'Pre-Assessment Estimator'!$A$10:$Z$226,N$2,FALSE))</f>
        <v/>
      </c>
      <c r="O153" s="575" t="str">
        <f>VLOOKUP($A153,'Pre-Assessment Estimator'!$A$10:$Z$226,O$2,FALSE)</f>
        <v>-</v>
      </c>
      <c r="P153" s="574" t="str">
        <f>VLOOKUP($A153,'Pre-Assessment Estimator'!$A$10:$Z$226,P$2,FALSE)</f>
        <v>Very Good</v>
      </c>
      <c r="Q153" s="577" t="str">
        <f>IF(VLOOKUP($A153,'Pre-Assessment Estimator'!$A$10:$Z$226,Q$2,FALSE)=0,"",VLOOKUP($A153,'Pre-Assessment Estimator'!$A$10:$Z$226,Q$2,FALSE))</f>
        <v/>
      </c>
      <c r="R153" s="577" t="str">
        <f>IF(VLOOKUP($A153,'Pre-Assessment Estimator'!$A$10:$Z$226,R$2,FALSE)=0,"",VLOOKUP($A153,'Pre-Assessment Estimator'!$A$10:$Z$226,R$2,FALSE))</f>
        <v/>
      </c>
      <c r="S153" s="578" t="str">
        <f>IF(VLOOKUP($A153,'Pre-Assessment Estimator'!$A$10:$Z$226,S$2,FALSE)=0,"",VLOOKUP($A153,'Pre-Assessment Estimator'!$A$10:$Z$226,S$2,FALSE))</f>
        <v/>
      </c>
      <c r="T153" s="581"/>
      <c r="U153" s="580" t="str">
        <f>IF(VLOOKUP($A153,'Pre-Assessment Estimator'!$A$10:$Z$226,U$2,FALSE)=0,"",VLOOKUP($A153,'Pre-Assessment Estimator'!$A$10:$Z$226,U$2,FALSE))</f>
        <v/>
      </c>
      <c r="V153" s="575" t="str">
        <f>VLOOKUP($A153,'Pre-Assessment Estimator'!$A$10:$Z$226,V$2,FALSE)</f>
        <v>-</v>
      </c>
      <c r="W153" s="574" t="str">
        <f>VLOOKUP($A153,'Pre-Assessment Estimator'!$A$10:$Z$226,W$2,FALSE)</f>
        <v>Very Good</v>
      </c>
      <c r="X153" s="577" t="str">
        <f>IF(VLOOKUP($A153,'Pre-Assessment Estimator'!$A$10:$Z$226,X$2,FALSE)=0,"",VLOOKUP($A153,'Pre-Assessment Estimator'!$A$10:$Z$226,X$2,FALSE))</f>
        <v/>
      </c>
      <c r="Y153" s="577" t="str">
        <f>IF(VLOOKUP($A153,'Pre-Assessment Estimator'!$A$10:$Z$226,Y$2,FALSE)=0,"",VLOOKUP($A153,'Pre-Assessment Estimator'!$A$10:$Z$226,Y$2,FALSE))</f>
        <v/>
      </c>
      <c r="Z153" s="370" t="str">
        <f>IF(VLOOKUP($A153,'Pre-Assessment Estimator'!$A$10:$Z$226,Z$2,FALSE)=0,"",VLOOKUP($A153,'Pre-Assessment Estimator'!$A$10:$Z$226,Z$2,FALSE))</f>
        <v/>
      </c>
      <c r="AA153" s="696">
        <v>143</v>
      </c>
      <c r="AB153" s="577"/>
      <c r="AF153" s="386">
        <f t="shared" si="3"/>
        <v>1</v>
      </c>
    </row>
    <row r="154" spans="1:32" x14ac:dyDescent="0.25">
      <c r="A154" s="823">
        <v>145</v>
      </c>
      <c r="B154" s="1234" t="s">
        <v>69</v>
      </c>
      <c r="C154" s="1234"/>
      <c r="D154" s="1256" t="str">
        <f>VLOOKUP($A154,'Pre-Assessment Estimator'!$A$10:$Z$226,D$2,FALSE)</f>
        <v>Wst 03a</v>
      </c>
      <c r="E154" s="1256" t="str">
        <f>VLOOKUP($A154,'Pre-Assessment Estimator'!$A$10:$Z$226,E$2,FALSE)</f>
        <v>Wst 03a Operational waste</v>
      </c>
      <c r="F154" s="574">
        <f>VLOOKUP($A154,'Pre-Assessment Estimator'!$A$10:$Z$226,F$2,FALSE)</f>
        <v>1</v>
      </c>
      <c r="G154" s="580" t="str">
        <f>IF(VLOOKUP($A154,'Pre-Assessment Estimator'!$A$10:$Z$226,G$2,FALSE)=0,"",VLOOKUP($A154,'Pre-Assessment Estimator'!$A$10:$Z$226,G$2,FALSE))</f>
        <v/>
      </c>
      <c r="H154" s="1220" t="str">
        <f>VLOOKUP($A154,'Pre-Assessment Estimator'!$A$10:$Z$226,H$2,FALSE)</f>
        <v>0 c. 0 %</v>
      </c>
      <c r="I154" s="576" t="str">
        <f>VLOOKUP($A154,'Pre-Assessment Estimator'!$A$10:$Z$226,I$2,FALSE)</f>
        <v>N/A</v>
      </c>
      <c r="J154" s="577" t="str">
        <f>IF(VLOOKUP($A154,'Pre-Assessment Estimator'!$A$10:$Z$226,J$2,FALSE)=0,"",VLOOKUP($A154,'Pre-Assessment Estimator'!$A$10:$Z$226,J$2,FALSE))</f>
        <v/>
      </c>
      <c r="K154" s="577" t="str">
        <f>IF(VLOOKUP($A154,'Pre-Assessment Estimator'!$A$10:$Z$226,K$2,FALSE)=0,"",VLOOKUP($A154,'Pre-Assessment Estimator'!$A$10:$Z$226,K$2,FALSE))</f>
        <v/>
      </c>
      <c r="L154" s="578" t="str">
        <f>IF(VLOOKUP($A154,'Pre-Assessment Estimator'!$A$10:$Z$226,L$2,FALSE)=0,"",VLOOKUP($A154,'Pre-Assessment Estimator'!$A$10:$Z$226,L$2,FALSE))</f>
        <v/>
      </c>
      <c r="M154" s="579"/>
      <c r="N154" s="580" t="str">
        <f>IF(VLOOKUP($A154,'Pre-Assessment Estimator'!$A$10:$Z$226,N$2,FALSE)=0,"",VLOOKUP($A154,'Pre-Assessment Estimator'!$A$10:$Z$226,N$2,FALSE))</f>
        <v/>
      </c>
      <c r="O154" s="575" t="str">
        <f>VLOOKUP($A154,'Pre-Assessment Estimator'!$A$10:$Z$226,O$2,FALSE)</f>
        <v>0 c. 0 %</v>
      </c>
      <c r="P154" s="574" t="str">
        <f>VLOOKUP($A154,'Pre-Assessment Estimator'!$A$10:$Z$226,P$2,FALSE)</f>
        <v>N/A</v>
      </c>
      <c r="Q154" s="577" t="str">
        <f>IF(VLOOKUP($A154,'Pre-Assessment Estimator'!$A$10:$Z$226,Q$2,FALSE)=0,"",VLOOKUP($A154,'Pre-Assessment Estimator'!$A$10:$Z$226,Q$2,FALSE))</f>
        <v/>
      </c>
      <c r="R154" s="577" t="str">
        <f>IF(VLOOKUP($A154,'Pre-Assessment Estimator'!$A$10:$Z$226,R$2,FALSE)=0,"",VLOOKUP($A154,'Pre-Assessment Estimator'!$A$10:$Z$226,R$2,FALSE))</f>
        <v/>
      </c>
      <c r="S154" s="578" t="str">
        <f>IF(VLOOKUP($A154,'Pre-Assessment Estimator'!$A$10:$Z$226,S$2,FALSE)=0,"",VLOOKUP($A154,'Pre-Assessment Estimator'!$A$10:$Z$226,S$2,FALSE))</f>
        <v/>
      </c>
      <c r="T154" s="581"/>
      <c r="U154" s="580" t="str">
        <f>IF(VLOOKUP($A154,'Pre-Assessment Estimator'!$A$10:$Z$226,U$2,FALSE)=0,"",VLOOKUP($A154,'Pre-Assessment Estimator'!$A$10:$Z$226,U$2,FALSE))</f>
        <v/>
      </c>
      <c r="V154" s="575" t="str">
        <f>VLOOKUP($A154,'Pre-Assessment Estimator'!$A$10:$Z$226,V$2,FALSE)</f>
        <v>0 c. 0 %</v>
      </c>
      <c r="W154" s="574" t="str">
        <f>VLOOKUP($A154,'Pre-Assessment Estimator'!$A$10:$Z$226,W$2,FALSE)</f>
        <v>N/A</v>
      </c>
      <c r="X154" s="577" t="str">
        <f>IF(VLOOKUP($A154,'Pre-Assessment Estimator'!$A$10:$Z$226,X$2,FALSE)=0,"",VLOOKUP($A154,'Pre-Assessment Estimator'!$A$10:$Z$226,X$2,FALSE))</f>
        <v/>
      </c>
      <c r="Y154" s="577" t="str">
        <f>IF(VLOOKUP($A154,'Pre-Assessment Estimator'!$A$10:$Z$226,Y$2,FALSE)=0,"",VLOOKUP($A154,'Pre-Assessment Estimator'!$A$10:$Z$226,Y$2,FALSE))</f>
        <v/>
      </c>
      <c r="Z154" s="370" t="str">
        <f>IF(VLOOKUP($A154,'Pre-Assessment Estimator'!$A$10:$Z$226,Z$2,FALSE)=0,"",VLOOKUP($A154,'Pre-Assessment Estimator'!$A$10:$Z$226,Z$2,FALSE))</f>
        <v/>
      </c>
      <c r="AA154" s="696">
        <v>144</v>
      </c>
      <c r="AB154" s="577"/>
      <c r="AF154" s="386">
        <f t="shared" si="3"/>
        <v>1</v>
      </c>
    </row>
    <row r="155" spans="1:32" x14ac:dyDescent="0.25">
      <c r="A155" s="823">
        <v>146</v>
      </c>
      <c r="B155" s="1234" t="s">
        <v>69</v>
      </c>
      <c r="C155" s="1234"/>
      <c r="D155" s="1257" t="str">
        <f>VLOOKUP($A155,'Pre-Assessment Estimator'!$A$10:$Z$226,D$2,FALSE)</f>
        <v>Wst 03a</v>
      </c>
      <c r="E155" s="1258" t="str">
        <f>VLOOKUP($A155,'Pre-Assessment Estimator'!$A$10:$Z$226,E$2,FALSE)</f>
        <v>Operational waste</v>
      </c>
      <c r="F155" s="574">
        <f>VLOOKUP($A155,'Pre-Assessment Estimator'!$A$10:$Z$226,F$2,FALSE)</f>
        <v>1</v>
      </c>
      <c r="G155" s="580" t="str">
        <f>IF(VLOOKUP($A155,'Pre-Assessment Estimator'!$A$10:$Z$226,G$2,FALSE)=0,"",VLOOKUP($A155,'Pre-Assessment Estimator'!$A$10:$Z$226,G$2,FALSE))</f>
        <v/>
      </c>
      <c r="H155" s="1220">
        <f>VLOOKUP($A155,'Pre-Assessment Estimator'!$A$10:$Z$226,H$2,FALSE)</f>
        <v>0</v>
      </c>
      <c r="I155" s="576" t="str">
        <f>VLOOKUP($A155,'Pre-Assessment Estimator'!$A$10:$Z$226,I$2,FALSE)</f>
        <v>Very Good</v>
      </c>
      <c r="J155" s="577" t="str">
        <f>IF(VLOOKUP($A155,'Pre-Assessment Estimator'!$A$10:$Z$226,J$2,FALSE)=0,"",VLOOKUP($A155,'Pre-Assessment Estimator'!$A$10:$Z$226,J$2,FALSE))</f>
        <v/>
      </c>
      <c r="K155" s="577" t="str">
        <f>IF(VLOOKUP($A155,'Pre-Assessment Estimator'!$A$10:$Z$226,K$2,FALSE)=0,"",VLOOKUP($A155,'Pre-Assessment Estimator'!$A$10:$Z$226,K$2,FALSE))</f>
        <v/>
      </c>
      <c r="L155" s="578" t="str">
        <f>IF(VLOOKUP($A155,'Pre-Assessment Estimator'!$A$10:$Z$226,L$2,FALSE)=0,"",VLOOKUP($A155,'Pre-Assessment Estimator'!$A$10:$Z$226,L$2,FALSE))</f>
        <v/>
      </c>
      <c r="M155" s="579"/>
      <c r="N155" s="580" t="str">
        <f>IF(VLOOKUP($A155,'Pre-Assessment Estimator'!$A$10:$Z$226,N$2,FALSE)=0,"",VLOOKUP($A155,'Pre-Assessment Estimator'!$A$10:$Z$226,N$2,FALSE))</f>
        <v/>
      </c>
      <c r="O155" s="575">
        <f>VLOOKUP($A155,'Pre-Assessment Estimator'!$A$10:$Z$226,O$2,FALSE)</f>
        <v>0</v>
      </c>
      <c r="P155" s="574" t="str">
        <f>VLOOKUP($A155,'Pre-Assessment Estimator'!$A$10:$Z$226,P$2,FALSE)</f>
        <v>Very Good</v>
      </c>
      <c r="Q155" s="577" t="str">
        <f>IF(VLOOKUP($A155,'Pre-Assessment Estimator'!$A$10:$Z$226,Q$2,FALSE)=0,"",VLOOKUP($A155,'Pre-Assessment Estimator'!$A$10:$Z$226,Q$2,FALSE))</f>
        <v/>
      </c>
      <c r="R155" s="577" t="str">
        <f>IF(VLOOKUP($A155,'Pre-Assessment Estimator'!$A$10:$Z$226,R$2,FALSE)=0,"",VLOOKUP($A155,'Pre-Assessment Estimator'!$A$10:$Z$226,R$2,FALSE))</f>
        <v/>
      </c>
      <c r="S155" s="578" t="str">
        <f>IF(VLOOKUP($A155,'Pre-Assessment Estimator'!$A$10:$Z$226,S$2,FALSE)=0,"",VLOOKUP($A155,'Pre-Assessment Estimator'!$A$10:$Z$226,S$2,FALSE))</f>
        <v/>
      </c>
      <c r="T155" s="581"/>
      <c r="U155" s="580" t="str">
        <f>IF(VLOOKUP($A155,'Pre-Assessment Estimator'!$A$10:$Z$226,U$2,FALSE)=0,"",VLOOKUP($A155,'Pre-Assessment Estimator'!$A$10:$Z$226,U$2,FALSE))</f>
        <v/>
      </c>
      <c r="V155" s="575">
        <f>VLOOKUP($A155,'Pre-Assessment Estimator'!$A$10:$Z$226,V$2,FALSE)</f>
        <v>0</v>
      </c>
      <c r="W155" s="574" t="str">
        <f>VLOOKUP($A155,'Pre-Assessment Estimator'!$A$10:$Z$226,W$2,FALSE)</f>
        <v>Very Good</v>
      </c>
      <c r="X155" s="577" t="str">
        <f>IF(VLOOKUP($A155,'Pre-Assessment Estimator'!$A$10:$Z$226,X$2,FALSE)=0,"",VLOOKUP($A155,'Pre-Assessment Estimator'!$A$10:$Z$226,X$2,FALSE))</f>
        <v/>
      </c>
      <c r="Y155" s="577" t="str">
        <f>IF(VLOOKUP($A155,'Pre-Assessment Estimator'!$A$10:$Z$226,Y$2,FALSE)=0,"",VLOOKUP($A155,'Pre-Assessment Estimator'!$A$10:$Z$226,Y$2,FALSE))</f>
        <v/>
      </c>
      <c r="Z155" s="370" t="str">
        <f>IF(VLOOKUP($A155,'Pre-Assessment Estimator'!$A$10:$Z$226,Z$2,FALSE)=0,"",VLOOKUP($A155,'Pre-Assessment Estimator'!$A$10:$Z$226,Z$2,FALSE))</f>
        <v/>
      </c>
      <c r="AA155" s="696">
        <v>145</v>
      </c>
      <c r="AB155" s="577"/>
      <c r="AF155" s="386">
        <f t="shared" si="3"/>
        <v>1</v>
      </c>
    </row>
    <row r="156" spans="1:32" x14ac:dyDescent="0.25">
      <c r="A156" s="823">
        <v>147</v>
      </c>
      <c r="B156" s="1234" t="s">
        <v>69</v>
      </c>
      <c r="C156" s="1234"/>
      <c r="D156" s="1256" t="str">
        <f>VLOOKUP($A156,'Pre-Assessment Estimator'!$A$10:$Z$226,D$2,FALSE)</f>
        <v>Wst 03b</v>
      </c>
      <c r="E156" s="1256" t="str">
        <f>VLOOKUP($A156,'Pre-Assessment Estimator'!$A$10:$Z$226,E$2,FALSE)</f>
        <v>Wst 03b Operational waste</v>
      </c>
      <c r="F156" s="574">
        <f>VLOOKUP($A156,'Pre-Assessment Estimator'!$A$10:$Z$226,F$2,FALSE)</f>
        <v>0</v>
      </c>
      <c r="G156" s="580" t="str">
        <f>IF(VLOOKUP($A156,'Pre-Assessment Estimator'!$A$10:$Z$226,G$2,FALSE)=0,"",VLOOKUP($A156,'Pre-Assessment Estimator'!$A$10:$Z$226,G$2,FALSE))</f>
        <v/>
      </c>
      <c r="H156" s="1220" t="str">
        <f>VLOOKUP($A156,'Pre-Assessment Estimator'!$A$10:$Z$226,H$2,FALSE)</f>
        <v>0 c. 0 %</v>
      </c>
      <c r="I156" s="576" t="str">
        <f>VLOOKUP($A156,'Pre-Assessment Estimator'!$A$10:$Z$226,I$2,FALSE)</f>
        <v>N/A</v>
      </c>
      <c r="J156" s="577" t="str">
        <f>IF(VLOOKUP($A156,'Pre-Assessment Estimator'!$A$10:$Z$226,J$2,FALSE)=0,"",VLOOKUP($A156,'Pre-Assessment Estimator'!$A$10:$Z$226,J$2,FALSE))</f>
        <v/>
      </c>
      <c r="K156" s="577" t="str">
        <f>IF(VLOOKUP($A156,'Pre-Assessment Estimator'!$A$10:$Z$226,K$2,FALSE)=0,"",VLOOKUP($A156,'Pre-Assessment Estimator'!$A$10:$Z$226,K$2,FALSE))</f>
        <v/>
      </c>
      <c r="L156" s="578" t="str">
        <f>IF(VLOOKUP($A156,'Pre-Assessment Estimator'!$A$10:$Z$226,L$2,FALSE)=0,"",VLOOKUP($A156,'Pre-Assessment Estimator'!$A$10:$Z$226,L$2,FALSE))</f>
        <v/>
      </c>
      <c r="M156" s="579"/>
      <c r="N156" s="580" t="str">
        <f>IF(VLOOKUP($A156,'Pre-Assessment Estimator'!$A$10:$Z$226,N$2,FALSE)=0,"",VLOOKUP($A156,'Pre-Assessment Estimator'!$A$10:$Z$226,N$2,FALSE))</f>
        <v/>
      </c>
      <c r="O156" s="575" t="str">
        <f>VLOOKUP($A156,'Pre-Assessment Estimator'!$A$10:$Z$226,O$2,FALSE)</f>
        <v>0 c. 0 %</v>
      </c>
      <c r="P156" s="574" t="str">
        <f>VLOOKUP($A156,'Pre-Assessment Estimator'!$A$10:$Z$226,P$2,FALSE)</f>
        <v>N/A</v>
      </c>
      <c r="Q156" s="577" t="str">
        <f>IF(VLOOKUP($A156,'Pre-Assessment Estimator'!$A$10:$Z$226,Q$2,FALSE)=0,"",VLOOKUP($A156,'Pre-Assessment Estimator'!$A$10:$Z$226,Q$2,FALSE))</f>
        <v/>
      </c>
      <c r="R156" s="577" t="str">
        <f>IF(VLOOKUP($A156,'Pre-Assessment Estimator'!$A$10:$Z$226,R$2,FALSE)=0,"",VLOOKUP($A156,'Pre-Assessment Estimator'!$A$10:$Z$226,R$2,FALSE))</f>
        <v/>
      </c>
      <c r="S156" s="578" t="str">
        <f>IF(VLOOKUP($A156,'Pre-Assessment Estimator'!$A$10:$Z$226,S$2,FALSE)=0,"",VLOOKUP($A156,'Pre-Assessment Estimator'!$A$10:$Z$226,S$2,FALSE))</f>
        <v/>
      </c>
      <c r="T156" s="581"/>
      <c r="U156" s="580" t="str">
        <f>IF(VLOOKUP($A156,'Pre-Assessment Estimator'!$A$10:$Z$226,U$2,FALSE)=0,"",VLOOKUP($A156,'Pre-Assessment Estimator'!$A$10:$Z$226,U$2,FALSE))</f>
        <v/>
      </c>
      <c r="V156" s="575" t="str">
        <f>VLOOKUP($A156,'Pre-Assessment Estimator'!$A$10:$Z$226,V$2,FALSE)</f>
        <v>0 c. 0 %</v>
      </c>
      <c r="W156" s="574" t="str">
        <f>VLOOKUP($A156,'Pre-Assessment Estimator'!$A$10:$Z$226,W$2,FALSE)</f>
        <v>N/A</v>
      </c>
      <c r="X156" s="577" t="str">
        <f>IF(VLOOKUP($A156,'Pre-Assessment Estimator'!$A$10:$Z$226,X$2,FALSE)=0,"",VLOOKUP($A156,'Pre-Assessment Estimator'!$A$10:$Z$226,X$2,FALSE))</f>
        <v/>
      </c>
      <c r="Y156" s="577" t="str">
        <f>IF(VLOOKUP($A156,'Pre-Assessment Estimator'!$A$10:$Z$226,Y$2,FALSE)=0,"",VLOOKUP($A156,'Pre-Assessment Estimator'!$A$10:$Z$226,Y$2,FALSE))</f>
        <v/>
      </c>
      <c r="Z156" s="370" t="str">
        <f>IF(VLOOKUP($A156,'Pre-Assessment Estimator'!$A$10:$Z$226,Z$2,FALSE)=0,"",VLOOKUP($A156,'Pre-Assessment Estimator'!$A$10:$Z$226,Z$2,FALSE))</f>
        <v/>
      </c>
      <c r="AA156" s="696">
        <v>146</v>
      </c>
      <c r="AB156" s="577"/>
      <c r="AF156" s="386">
        <f t="shared" si="3"/>
        <v>2</v>
      </c>
    </row>
    <row r="157" spans="1:32" x14ac:dyDescent="0.25">
      <c r="A157" s="823">
        <v>148</v>
      </c>
      <c r="B157" s="1234" t="s">
        <v>69</v>
      </c>
      <c r="C157" s="1234"/>
      <c r="D157" s="1257" t="str">
        <f>VLOOKUP($A157,'Pre-Assessment Estimator'!$A$10:$Z$226,D$2,FALSE)</f>
        <v>Wst 03b</v>
      </c>
      <c r="E157" s="1258" t="str">
        <f>VLOOKUP($A157,'Pre-Assessment Estimator'!$A$10:$Z$226,E$2,FALSE)</f>
        <v>Sorting of waste</v>
      </c>
      <c r="F157" s="574">
        <f>VLOOKUP($A157,'Pre-Assessment Estimator'!$A$10:$Z$226,F$2,FALSE)</f>
        <v>0</v>
      </c>
      <c r="G157" s="580" t="str">
        <f>IF(VLOOKUP($A157,'Pre-Assessment Estimator'!$A$10:$Z$226,G$2,FALSE)=0,"",VLOOKUP($A157,'Pre-Assessment Estimator'!$A$10:$Z$226,G$2,FALSE))</f>
        <v/>
      </c>
      <c r="H157" s="1220">
        <f>VLOOKUP($A157,'Pre-Assessment Estimator'!$A$10:$Z$226,H$2,FALSE)</f>
        <v>0</v>
      </c>
      <c r="I157" s="576" t="str">
        <f>VLOOKUP($A157,'Pre-Assessment Estimator'!$A$10:$Z$226,I$2,FALSE)</f>
        <v>N/A</v>
      </c>
      <c r="J157" s="577" t="str">
        <f>IF(VLOOKUP($A157,'Pre-Assessment Estimator'!$A$10:$Z$226,J$2,FALSE)=0,"",VLOOKUP($A157,'Pre-Assessment Estimator'!$A$10:$Z$226,J$2,FALSE))</f>
        <v/>
      </c>
      <c r="K157" s="577" t="str">
        <f>IF(VLOOKUP($A157,'Pre-Assessment Estimator'!$A$10:$Z$226,K$2,FALSE)=0,"",VLOOKUP($A157,'Pre-Assessment Estimator'!$A$10:$Z$226,K$2,FALSE))</f>
        <v/>
      </c>
      <c r="L157" s="578" t="str">
        <f>IF(VLOOKUP($A157,'Pre-Assessment Estimator'!$A$10:$Z$226,L$2,FALSE)=0,"",VLOOKUP($A157,'Pre-Assessment Estimator'!$A$10:$Z$226,L$2,FALSE))</f>
        <v/>
      </c>
      <c r="M157" s="579"/>
      <c r="N157" s="580" t="str">
        <f>IF(VLOOKUP($A157,'Pre-Assessment Estimator'!$A$10:$Z$226,N$2,FALSE)=0,"",VLOOKUP($A157,'Pre-Assessment Estimator'!$A$10:$Z$226,N$2,FALSE))</f>
        <v/>
      </c>
      <c r="O157" s="575">
        <f>VLOOKUP($A157,'Pre-Assessment Estimator'!$A$10:$Z$226,O$2,FALSE)</f>
        <v>0</v>
      </c>
      <c r="P157" s="574" t="str">
        <f>VLOOKUP($A157,'Pre-Assessment Estimator'!$A$10:$Z$226,P$2,FALSE)</f>
        <v>N/A</v>
      </c>
      <c r="Q157" s="577" t="str">
        <f>IF(VLOOKUP($A157,'Pre-Assessment Estimator'!$A$10:$Z$226,Q$2,FALSE)=0,"",VLOOKUP($A157,'Pre-Assessment Estimator'!$A$10:$Z$226,Q$2,FALSE))</f>
        <v/>
      </c>
      <c r="R157" s="577" t="str">
        <f>IF(VLOOKUP($A157,'Pre-Assessment Estimator'!$A$10:$Z$226,R$2,FALSE)=0,"",VLOOKUP($A157,'Pre-Assessment Estimator'!$A$10:$Z$226,R$2,FALSE))</f>
        <v/>
      </c>
      <c r="S157" s="578" t="str">
        <f>IF(VLOOKUP($A157,'Pre-Assessment Estimator'!$A$10:$Z$226,S$2,FALSE)=0,"",VLOOKUP($A157,'Pre-Assessment Estimator'!$A$10:$Z$226,S$2,FALSE))</f>
        <v/>
      </c>
      <c r="T157" s="581"/>
      <c r="U157" s="580" t="str">
        <f>IF(VLOOKUP($A157,'Pre-Assessment Estimator'!$A$10:$Z$226,U$2,FALSE)=0,"",VLOOKUP($A157,'Pre-Assessment Estimator'!$A$10:$Z$226,U$2,FALSE))</f>
        <v/>
      </c>
      <c r="V157" s="575">
        <f>VLOOKUP($A157,'Pre-Assessment Estimator'!$A$10:$Z$226,V$2,FALSE)</f>
        <v>0</v>
      </c>
      <c r="W157" s="574" t="str">
        <f>VLOOKUP($A157,'Pre-Assessment Estimator'!$A$10:$Z$226,W$2,FALSE)</f>
        <v>N/A</v>
      </c>
      <c r="X157" s="577" t="str">
        <f>IF(VLOOKUP($A157,'Pre-Assessment Estimator'!$A$10:$Z$226,X$2,FALSE)=0,"",VLOOKUP($A157,'Pre-Assessment Estimator'!$A$10:$Z$226,X$2,FALSE))</f>
        <v/>
      </c>
      <c r="Y157" s="577" t="str">
        <f>IF(VLOOKUP($A157,'Pre-Assessment Estimator'!$A$10:$Z$226,Y$2,FALSE)=0,"",VLOOKUP($A157,'Pre-Assessment Estimator'!$A$10:$Z$226,Y$2,FALSE))</f>
        <v/>
      </c>
      <c r="Z157" s="370" t="str">
        <f>IF(VLOOKUP($A157,'Pre-Assessment Estimator'!$A$10:$Z$226,Z$2,FALSE)=0,"",VLOOKUP($A157,'Pre-Assessment Estimator'!$A$10:$Z$226,Z$2,FALSE))</f>
        <v/>
      </c>
      <c r="AA157" s="696">
        <v>147</v>
      </c>
      <c r="AB157" s="577" t="str">
        <f>IF(VLOOKUP($A157,'Pre-Assessment Estimator'!$A$10:$AB$226,AB$2,FALSE)=0,"",VLOOKUP($A157,'Pre-Assessment Estimator'!$A$10:$AB$226,AB$2,FALSE))</f>
        <v/>
      </c>
      <c r="AF157" s="386">
        <f t="shared" si="3"/>
        <v>2</v>
      </c>
    </row>
    <row r="158" spans="1:32" x14ac:dyDescent="0.25">
      <c r="A158" s="823">
        <v>149</v>
      </c>
      <c r="B158" s="1234" t="s">
        <v>69</v>
      </c>
      <c r="C158" s="1234"/>
      <c r="D158" s="1256" t="str">
        <f>VLOOKUP($A158,'Pre-Assessment Estimator'!$A$10:$Z$226,D$2,FALSE)</f>
        <v>Wst 04</v>
      </c>
      <c r="E158" s="1256" t="str">
        <f>VLOOKUP($A158,'Pre-Assessment Estimator'!$A$10:$Z$226,E$2,FALSE)</f>
        <v>Wst 04 Speculative finishes</v>
      </c>
      <c r="F158" s="574">
        <f>VLOOKUP($A158,'Pre-Assessment Estimator'!$A$10:$Z$226,F$2,FALSE)</f>
        <v>1</v>
      </c>
      <c r="G158" s="580" t="str">
        <f>IF(VLOOKUP($A158,'Pre-Assessment Estimator'!$A$10:$Z$226,G$2,FALSE)=0,"",VLOOKUP($A158,'Pre-Assessment Estimator'!$A$10:$Z$226,G$2,FALSE))</f>
        <v/>
      </c>
      <c r="H158" s="1220" t="str">
        <f>VLOOKUP($A158,'Pre-Assessment Estimator'!$A$10:$Z$226,H$2,FALSE)</f>
        <v>0 c. 0 %</v>
      </c>
      <c r="I158" s="576" t="str">
        <f>VLOOKUP($A158,'Pre-Assessment Estimator'!$A$10:$Z$226,I$2,FALSE)</f>
        <v>N/A</v>
      </c>
      <c r="J158" s="577" t="str">
        <f>IF(VLOOKUP($A158,'Pre-Assessment Estimator'!$A$10:$Z$226,J$2,FALSE)=0,"",VLOOKUP($A158,'Pre-Assessment Estimator'!$A$10:$Z$226,J$2,FALSE))</f>
        <v/>
      </c>
      <c r="K158" s="577" t="str">
        <f>IF(VLOOKUP($A158,'Pre-Assessment Estimator'!$A$10:$Z$226,K$2,FALSE)=0,"",VLOOKUP($A158,'Pre-Assessment Estimator'!$A$10:$Z$226,K$2,FALSE))</f>
        <v/>
      </c>
      <c r="L158" s="578" t="str">
        <f>IF(VLOOKUP($A158,'Pre-Assessment Estimator'!$A$10:$Z$226,L$2,FALSE)=0,"",VLOOKUP($A158,'Pre-Assessment Estimator'!$A$10:$Z$226,L$2,FALSE))</f>
        <v/>
      </c>
      <c r="M158" s="579"/>
      <c r="N158" s="580" t="str">
        <f>IF(VLOOKUP($A158,'Pre-Assessment Estimator'!$A$10:$Z$226,N$2,FALSE)=0,"",VLOOKUP($A158,'Pre-Assessment Estimator'!$A$10:$Z$226,N$2,FALSE))</f>
        <v/>
      </c>
      <c r="O158" s="575" t="str">
        <f>VLOOKUP($A158,'Pre-Assessment Estimator'!$A$10:$Z$226,O$2,FALSE)</f>
        <v>0 c. 0 %</v>
      </c>
      <c r="P158" s="574" t="str">
        <f>VLOOKUP($A158,'Pre-Assessment Estimator'!$A$10:$Z$226,P$2,FALSE)</f>
        <v>N/A</v>
      </c>
      <c r="Q158" s="577" t="str">
        <f>IF(VLOOKUP($A158,'Pre-Assessment Estimator'!$A$10:$Z$226,Q$2,FALSE)=0,"",VLOOKUP($A158,'Pre-Assessment Estimator'!$A$10:$Z$226,Q$2,FALSE))</f>
        <v/>
      </c>
      <c r="R158" s="577" t="str">
        <f>IF(VLOOKUP($A158,'Pre-Assessment Estimator'!$A$10:$Z$226,R$2,FALSE)=0,"",VLOOKUP($A158,'Pre-Assessment Estimator'!$A$10:$Z$226,R$2,FALSE))</f>
        <v/>
      </c>
      <c r="S158" s="578" t="str">
        <f>IF(VLOOKUP($A158,'Pre-Assessment Estimator'!$A$10:$Z$226,S$2,FALSE)=0,"",VLOOKUP($A158,'Pre-Assessment Estimator'!$A$10:$Z$226,S$2,FALSE))</f>
        <v/>
      </c>
      <c r="T158" s="581"/>
      <c r="U158" s="580" t="str">
        <f>IF(VLOOKUP($A158,'Pre-Assessment Estimator'!$A$10:$Z$226,U$2,FALSE)=0,"",VLOOKUP($A158,'Pre-Assessment Estimator'!$A$10:$Z$226,U$2,FALSE))</f>
        <v/>
      </c>
      <c r="V158" s="575" t="str">
        <f>VLOOKUP($A158,'Pre-Assessment Estimator'!$A$10:$Z$226,V$2,FALSE)</f>
        <v>0 c. 0 %</v>
      </c>
      <c r="W158" s="574" t="str">
        <f>VLOOKUP($A158,'Pre-Assessment Estimator'!$A$10:$Z$226,W$2,FALSE)</f>
        <v>N/A</v>
      </c>
      <c r="X158" s="577" t="str">
        <f>IF(VLOOKUP($A158,'Pre-Assessment Estimator'!$A$10:$Z$226,X$2,FALSE)=0,"",VLOOKUP($A158,'Pre-Assessment Estimator'!$A$10:$Z$226,X$2,FALSE))</f>
        <v/>
      </c>
      <c r="Y158" s="577" t="str">
        <f>IF(VLOOKUP($A158,'Pre-Assessment Estimator'!$A$10:$Z$226,Y$2,FALSE)=0,"",VLOOKUP($A158,'Pre-Assessment Estimator'!$A$10:$Z$226,Y$2,FALSE))</f>
        <v/>
      </c>
      <c r="Z158" s="370" t="str">
        <f>IF(VLOOKUP($A158,'Pre-Assessment Estimator'!$A$10:$Z$226,Z$2,FALSE)=0,"",VLOOKUP($A158,'Pre-Assessment Estimator'!$A$10:$Z$226,Z$2,FALSE))</f>
        <v/>
      </c>
      <c r="AA158" s="696">
        <v>148</v>
      </c>
      <c r="AB158" s="585" t="str">
        <f>IF(VLOOKUP($A158,'Pre-Assessment Estimator'!$A$10:$AB$226,AB$2,FALSE)=0,"",VLOOKUP($A158,'Pre-Assessment Estimator'!$A$10:$AB$226,AB$2,FALSE))</f>
        <v/>
      </c>
      <c r="AC158" s="389"/>
      <c r="AD158" s="389"/>
      <c r="AE158" s="389"/>
      <c r="AF158" s="386">
        <f t="shared" si="3"/>
        <v>1</v>
      </c>
    </row>
    <row r="159" spans="1:32" x14ac:dyDescent="0.25">
      <c r="A159" s="823">
        <v>150</v>
      </c>
      <c r="B159" s="1234" t="s">
        <v>70</v>
      </c>
      <c r="C159" s="1234"/>
      <c r="D159" s="1257" t="str">
        <f>VLOOKUP($A159,'Pre-Assessment Estimator'!$A$10:$Z$226,D$2,FALSE)</f>
        <v>Wst 04</v>
      </c>
      <c r="E159" s="1258" t="str">
        <f>VLOOKUP($A159,'Pre-Assessment Estimator'!$A$10:$Z$226,E$2,FALSE)</f>
        <v xml:space="preserve">User involvement surface finishes </v>
      </c>
      <c r="F159" s="574">
        <f>VLOOKUP($A159,'Pre-Assessment Estimator'!$A$10:$Z$226,F$2,FALSE)</f>
        <v>1</v>
      </c>
      <c r="G159" s="580" t="str">
        <f>IF(VLOOKUP($A159,'Pre-Assessment Estimator'!$A$10:$Z$226,G$2,FALSE)=0,"",VLOOKUP($A159,'Pre-Assessment Estimator'!$A$10:$Z$226,G$2,FALSE))</f>
        <v/>
      </c>
      <c r="H159" s="1220">
        <f>VLOOKUP($A159,'Pre-Assessment Estimator'!$A$10:$Z$226,H$2,FALSE)</f>
        <v>0</v>
      </c>
      <c r="I159" s="576" t="str">
        <f>VLOOKUP($A159,'Pre-Assessment Estimator'!$A$10:$Z$226,I$2,FALSE)</f>
        <v>N/A</v>
      </c>
      <c r="J159" s="577" t="str">
        <f>IF(VLOOKUP($A159,'Pre-Assessment Estimator'!$A$10:$Z$226,J$2,FALSE)=0,"",VLOOKUP($A159,'Pre-Assessment Estimator'!$A$10:$Z$226,J$2,FALSE))</f>
        <v/>
      </c>
      <c r="K159" s="577" t="str">
        <f>IF(VLOOKUP($A159,'Pre-Assessment Estimator'!$A$10:$Z$226,K$2,FALSE)=0,"",VLOOKUP($A159,'Pre-Assessment Estimator'!$A$10:$Z$226,K$2,FALSE))</f>
        <v/>
      </c>
      <c r="L159" s="578" t="str">
        <f>IF(VLOOKUP($A159,'Pre-Assessment Estimator'!$A$10:$Z$226,L$2,FALSE)=0,"",VLOOKUP($A159,'Pre-Assessment Estimator'!$A$10:$Z$226,L$2,FALSE))</f>
        <v/>
      </c>
      <c r="M159" s="579"/>
      <c r="N159" s="580" t="str">
        <f>IF(VLOOKUP($A159,'Pre-Assessment Estimator'!$A$10:$Z$226,N$2,FALSE)=0,"",VLOOKUP($A159,'Pre-Assessment Estimator'!$A$10:$Z$226,N$2,FALSE))</f>
        <v/>
      </c>
      <c r="O159" s="575">
        <f>VLOOKUP($A159,'Pre-Assessment Estimator'!$A$10:$Z$226,O$2,FALSE)</f>
        <v>0</v>
      </c>
      <c r="P159" s="574" t="str">
        <f>VLOOKUP($A159,'Pre-Assessment Estimator'!$A$10:$Z$226,P$2,FALSE)</f>
        <v>N/A</v>
      </c>
      <c r="Q159" s="577" t="str">
        <f>IF(VLOOKUP($A159,'Pre-Assessment Estimator'!$A$10:$Z$226,Q$2,FALSE)=0,"",VLOOKUP($A159,'Pre-Assessment Estimator'!$A$10:$Z$226,Q$2,FALSE))</f>
        <v/>
      </c>
      <c r="R159" s="577" t="str">
        <f>IF(VLOOKUP($A159,'Pre-Assessment Estimator'!$A$10:$Z$226,R$2,FALSE)=0,"",VLOOKUP($A159,'Pre-Assessment Estimator'!$A$10:$Z$226,R$2,FALSE))</f>
        <v/>
      </c>
      <c r="S159" s="578" t="str">
        <f>IF(VLOOKUP($A159,'Pre-Assessment Estimator'!$A$10:$Z$226,S$2,FALSE)=0,"",VLOOKUP($A159,'Pre-Assessment Estimator'!$A$10:$Z$226,S$2,FALSE))</f>
        <v/>
      </c>
      <c r="T159" s="581"/>
      <c r="U159" s="580" t="str">
        <f>IF(VLOOKUP($A159,'Pre-Assessment Estimator'!$A$10:$Z$226,U$2,FALSE)=0,"",VLOOKUP($A159,'Pre-Assessment Estimator'!$A$10:$Z$226,U$2,FALSE))</f>
        <v/>
      </c>
      <c r="V159" s="575">
        <f>VLOOKUP($A159,'Pre-Assessment Estimator'!$A$10:$Z$226,V$2,FALSE)</f>
        <v>0</v>
      </c>
      <c r="W159" s="574" t="str">
        <f>VLOOKUP($A159,'Pre-Assessment Estimator'!$A$10:$Z$226,W$2,FALSE)</f>
        <v>N/A</v>
      </c>
      <c r="X159" s="577" t="str">
        <f>IF(VLOOKUP($A159,'Pre-Assessment Estimator'!$A$10:$Z$226,X$2,FALSE)=0,"",VLOOKUP($A159,'Pre-Assessment Estimator'!$A$10:$Z$226,X$2,FALSE))</f>
        <v/>
      </c>
      <c r="Y159" s="577" t="str">
        <f>IF(VLOOKUP($A159,'Pre-Assessment Estimator'!$A$10:$Z$226,Y$2,FALSE)=0,"",VLOOKUP($A159,'Pre-Assessment Estimator'!$A$10:$Z$226,Y$2,FALSE))</f>
        <v/>
      </c>
      <c r="Z159" s="370" t="str">
        <f>IF(VLOOKUP($A159,'Pre-Assessment Estimator'!$A$10:$Z$226,Z$2,FALSE)=0,"",VLOOKUP($A159,'Pre-Assessment Estimator'!$A$10:$Z$226,Z$2,FALSE))</f>
        <v/>
      </c>
      <c r="AA159" s="696">
        <v>149</v>
      </c>
      <c r="AB159" s="697" t="str">
        <f>IF(VLOOKUP($A159,'Pre-Assessment Estimator'!$A$10:$AB$226,AB$2,FALSE)=0,"",VLOOKUP($A159,'Pre-Assessment Estimator'!$A$10:$AB$226,AB$2,FALSE))</f>
        <v/>
      </c>
      <c r="AF159" s="386">
        <f t="shared" si="3"/>
        <v>1</v>
      </c>
    </row>
    <row r="160" spans="1:32" ht="30" customHeight="1" thickBot="1" x14ac:dyDescent="0.3">
      <c r="A160" s="823">
        <v>151</v>
      </c>
      <c r="B160" s="1234" t="s">
        <v>70</v>
      </c>
      <c r="C160" s="1234"/>
      <c r="D160" s="1259"/>
      <c r="E160" s="1259" t="str">
        <f>VLOOKUP($A160,'Pre-Assessment Estimator'!$A$10:$Z$226,E$2,FALSE)</f>
        <v>Total performance waste</v>
      </c>
      <c r="F160" s="582">
        <f>VLOOKUP($A160,'Pre-Assessment Estimator'!$A$10:$Z$226,F$2,FALSE)</f>
        <v>7</v>
      </c>
      <c r="G160" s="584" t="str">
        <f>IF(VLOOKUP($A160,'Pre-Assessment Estimator'!$A$10:$Z$226,G$2,FALSE)=0,"",VLOOKUP($A160,'Pre-Assessment Estimator'!$A$10:$Z$226,G$2,FALSE))</f>
        <v/>
      </c>
      <c r="H160" s="583">
        <f>VLOOKUP($A160,'Pre-Assessment Estimator'!$A$10:$Z$226,H$2,FALSE)</f>
        <v>0</v>
      </c>
      <c r="I160" s="582" t="str">
        <f>VLOOKUP($A160,'Pre-Assessment Estimator'!$A$10:$Z$226,I$2,FALSE)</f>
        <v>Credits achieved: 0</v>
      </c>
      <c r="J160" s="1202" t="str">
        <f>IF(VLOOKUP($A160,'Pre-Assessment Estimator'!$A$10:$Z$226,J$2,FALSE)=0,"",VLOOKUP($A160,'Pre-Assessment Estimator'!$A$10:$Z$226,J$2,FALSE))</f>
        <v/>
      </c>
      <c r="K160" s="1202" t="str">
        <f>IF(VLOOKUP($A160,'Pre-Assessment Estimator'!$A$10:$Z$226,K$2,FALSE)=0,"",VLOOKUP($A160,'Pre-Assessment Estimator'!$A$10:$Z$226,K$2,FALSE))</f>
        <v/>
      </c>
      <c r="L160" s="1221" t="str">
        <f>IF(VLOOKUP($A160,'Pre-Assessment Estimator'!$A$10:$Z$226,L$2,FALSE)=0,"",VLOOKUP($A160,'Pre-Assessment Estimator'!$A$10:$Z$226,L$2,FALSE))</f>
        <v/>
      </c>
      <c r="M160" s="1222"/>
      <c r="N160" s="584" t="str">
        <f>IF(VLOOKUP($A160,'Pre-Assessment Estimator'!$A$10:$Z$226,N$2,FALSE)=0,"",VLOOKUP($A160,'Pre-Assessment Estimator'!$A$10:$Z$226,N$2,FALSE))</f>
        <v/>
      </c>
      <c r="O160" s="583">
        <f>VLOOKUP($A160,'Pre-Assessment Estimator'!$A$10:$Z$226,O$2,FALSE)</f>
        <v>0</v>
      </c>
      <c r="P160" s="582" t="str">
        <f>VLOOKUP($A160,'Pre-Assessment Estimator'!$A$10:$Z$226,P$2,FALSE)</f>
        <v>Credits achieved: 0</v>
      </c>
      <c r="Q160" s="1202" t="str">
        <f>IF(VLOOKUP($A160,'Pre-Assessment Estimator'!$A$10:$Z$226,Q$2,FALSE)=0,"",VLOOKUP($A160,'Pre-Assessment Estimator'!$A$10:$Z$226,Q$2,FALSE))</f>
        <v/>
      </c>
      <c r="R160" s="1202" t="str">
        <f>IF(VLOOKUP($A160,'Pre-Assessment Estimator'!$A$10:$Z$226,R$2,FALSE)=0,"",VLOOKUP($A160,'Pre-Assessment Estimator'!$A$10:$Z$226,R$2,FALSE))</f>
        <v/>
      </c>
      <c r="S160" s="1221" t="str">
        <f>IF(VLOOKUP($A160,'Pre-Assessment Estimator'!$A$10:$Z$226,S$2,FALSE)=0,"",VLOOKUP($A160,'Pre-Assessment Estimator'!$A$10:$Z$226,S$2,FALSE))</f>
        <v/>
      </c>
      <c r="T160" s="1223"/>
      <c r="U160" s="584" t="str">
        <f>IF(VLOOKUP($A160,'Pre-Assessment Estimator'!$A$10:$Z$226,U$2,FALSE)=0,"",VLOOKUP($A160,'Pre-Assessment Estimator'!$A$10:$Z$226,U$2,FALSE))</f>
        <v/>
      </c>
      <c r="V160" s="583">
        <f>VLOOKUP($A160,'Pre-Assessment Estimator'!$A$10:$Z$226,V$2,FALSE)</f>
        <v>0</v>
      </c>
      <c r="W160" s="582" t="str">
        <f>VLOOKUP($A160,'Pre-Assessment Estimator'!$A$10:$Z$226,W$2,FALSE)</f>
        <v>Credits achieved: 0</v>
      </c>
      <c r="X160" s="1202" t="str">
        <f>IF(VLOOKUP($A160,'Pre-Assessment Estimator'!$A$10:$Z$226,X$2,FALSE)=0,"",VLOOKUP($A160,'Pre-Assessment Estimator'!$A$10:$Z$226,X$2,FALSE))</f>
        <v/>
      </c>
      <c r="Y160" s="1202" t="str">
        <f>IF(VLOOKUP($A160,'Pre-Assessment Estimator'!$A$10:$Z$226,Y$2,FALSE)=0,"",VLOOKUP($A160,'Pre-Assessment Estimator'!$A$10:$Z$226,Y$2,FALSE))</f>
        <v/>
      </c>
      <c r="Z160" s="1224" t="str">
        <f>IF(VLOOKUP($A160,'Pre-Assessment Estimator'!$A$10:$Z$226,Z$2,FALSE)=0,"",VLOOKUP($A160,'Pre-Assessment Estimator'!$A$10:$Z$226,Z$2,FALSE))</f>
        <v/>
      </c>
      <c r="AA160" s="696">
        <v>150</v>
      </c>
      <c r="AB160" s="577" t="str">
        <f>IF(VLOOKUP($A160,'Pre-Assessment Estimator'!$A$10:$AB$226,AB$2,FALSE)=0,"",VLOOKUP($A160,'Pre-Assessment Estimator'!$A$10:$AB$226,AB$2,FALSE))</f>
        <v/>
      </c>
      <c r="AF160" s="386">
        <f t="shared" si="3"/>
        <v>1</v>
      </c>
    </row>
    <row r="161" spans="1:32" x14ac:dyDescent="0.25">
      <c r="A161" s="823">
        <v>152</v>
      </c>
      <c r="B161" s="1234" t="s">
        <v>70</v>
      </c>
      <c r="C161" s="1234"/>
      <c r="D161" s="585"/>
      <c r="E161" s="585"/>
      <c r="F161" s="586"/>
      <c r="G161" s="586"/>
      <c r="H161" s="586"/>
      <c r="I161" s="586"/>
      <c r="J161" s="585"/>
      <c r="K161" s="586"/>
      <c r="L161" s="585"/>
      <c r="M161" s="579"/>
      <c r="N161" s="586"/>
      <c r="O161" s="586"/>
      <c r="P161" s="586"/>
      <c r="Q161" s="585"/>
      <c r="R161" s="586"/>
      <c r="S161" s="585"/>
      <c r="T161" s="581"/>
      <c r="U161" s="586"/>
      <c r="V161" s="586"/>
      <c r="W161" s="586"/>
      <c r="X161" s="585"/>
      <c r="Y161" s="586"/>
      <c r="Z161" s="343"/>
      <c r="AA161" s="696">
        <v>151</v>
      </c>
      <c r="AB161" s="577"/>
      <c r="AF161" s="386">
        <f t="shared" si="3"/>
        <v>1</v>
      </c>
    </row>
    <row r="162" spans="1:32" ht="18.75" x14ac:dyDescent="0.25">
      <c r="A162" s="823">
        <v>153</v>
      </c>
      <c r="B162" s="1234" t="s">
        <v>70</v>
      </c>
      <c r="C162" s="1234"/>
      <c r="D162" s="587"/>
      <c r="E162" s="587" t="s">
        <v>394</v>
      </c>
      <c r="F162" s="570"/>
      <c r="G162" s="570"/>
      <c r="H162" s="570"/>
      <c r="I162" s="570"/>
      <c r="J162" s="571"/>
      <c r="K162" s="570"/>
      <c r="L162" s="571"/>
      <c r="M162" s="579"/>
      <c r="N162" s="570"/>
      <c r="O162" s="570"/>
      <c r="P162" s="570"/>
      <c r="Q162" s="571"/>
      <c r="R162" s="570"/>
      <c r="S162" s="571"/>
      <c r="T162" s="581"/>
      <c r="U162" s="570"/>
      <c r="V162" s="570"/>
      <c r="W162" s="570"/>
      <c r="X162" s="571"/>
      <c r="Y162" s="570"/>
      <c r="Z162" s="411"/>
      <c r="AA162" s="696">
        <v>152</v>
      </c>
      <c r="AB162" s="577"/>
      <c r="AF162" s="386">
        <f t="shared" si="3"/>
        <v>1</v>
      </c>
    </row>
    <row r="163" spans="1:32" x14ac:dyDescent="0.25">
      <c r="A163" s="823">
        <v>154</v>
      </c>
      <c r="B163" s="1234" t="s">
        <v>70</v>
      </c>
      <c r="C163" s="1234"/>
      <c r="D163" s="1256" t="str">
        <f>VLOOKUP($A163,'Pre-Assessment Estimator'!$A$10:$Z$226,D$2,FALSE)</f>
        <v>LE 01</v>
      </c>
      <c r="E163" s="1256" t="str">
        <f>VLOOKUP($A163,'Pre-Assessment Estimator'!$A$10:$Z$226,E$2,FALSE)</f>
        <v>LE 01 Site selection</v>
      </c>
      <c r="F163" s="574">
        <f>VLOOKUP($A163,'Pre-Assessment Estimator'!$A$10:$Z$226,F$2,FALSE)</f>
        <v>2</v>
      </c>
      <c r="G163" s="580" t="str">
        <f>IF(VLOOKUP($A163,'Pre-Assessment Estimator'!$A$10:$Z$226,G$2,FALSE)=0,"",VLOOKUP($A163,'Pre-Assessment Estimator'!$A$10:$Z$226,G$2,FALSE))</f>
        <v/>
      </c>
      <c r="H163" s="1220" t="str">
        <f>VLOOKUP($A163,'Pre-Assessment Estimator'!$A$10:$Z$226,H$2,FALSE)</f>
        <v>0 c. 0 %</v>
      </c>
      <c r="I163" s="576" t="str">
        <f>VLOOKUP($A163,'Pre-Assessment Estimator'!$A$10:$Z$226,I$2,FALSE)</f>
        <v>N/A</v>
      </c>
      <c r="J163" s="577" t="str">
        <f>IF(VLOOKUP($A163,'Pre-Assessment Estimator'!$A$10:$Z$226,J$2,FALSE)=0,"",VLOOKUP($A163,'Pre-Assessment Estimator'!$A$10:$Z$226,J$2,FALSE))</f>
        <v/>
      </c>
      <c r="K163" s="577" t="str">
        <f>IF(VLOOKUP($A163,'Pre-Assessment Estimator'!$A$10:$Z$226,K$2,FALSE)=0,"",VLOOKUP($A163,'Pre-Assessment Estimator'!$A$10:$Z$226,K$2,FALSE))</f>
        <v/>
      </c>
      <c r="L163" s="578" t="str">
        <f>IF(VLOOKUP($A163,'Pre-Assessment Estimator'!$A$10:$Z$226,L$2,FALSE)=0,"",VLOOKUP($A163,'Pre-Assessment Estimator'!$A$10:$Z$226,L$2,FALSE))</f>
        <v/>
      </c>
      <c r="M163" s="579"/>
      <c r="N163" s="580" t="str">
        <f>IF(VLOOKUP($A163,'Pre-Assessment Estimator'!$A$10:$Z$226,N$2,FALSE)=0,"",VLOOKUP($A163,'Pre-Assessment Estimator'!$A$10:$Z$226,N$2,FALSE))</f>
        <v/>
      </c>
      <c r="O163" s="575" t="str">
        <f>VLOOKUP($A163,'Pre-Assessment Estimator'!$A$10:$Z$226,O$2,FALSE)</f>
        <v>0 c. 0 %</v>
      </c>
      <c r="P163" s="574" t="str">
        <f>VLOOKUP($A163,'Pre-Assessment Estimator'!$A$10:$Z$226,P$2,FALSE)</f>
        <v>N/A</v>
      </c>
      <c r="Q163" s="577" t="str">
        <f>IF(VLOOKUP($A163,'Pre-Assessment Estimator'!$A$10:$Z$226,Q$2,FALSE)=0,"",VLOOKUP($A163,'Pre-Assessment Estimator'!$A$10:$Z$226,Q$2,FALSE))</f>
        <v/>
      </c>
      <c r="R163" s="577" t="str">
        <f>IF(VLOOKUP($A163,'Pre-Assessment Estimator'!$A$10:$Z$226,R$2,FALSE)=0,"",VLOOKUP($A163,'Pre-Assessment Estimator'!$A$10:$Z$226,R$2,FALSE))</f>
        <v/>
      </c>
      <c r="S163" s="578" t="str">
        <f>IF(VLOOKUP($A163,'Pre-Assessment Estimator'!$A$10:$Z$226,S$2,FALSE)=0,"",VLOOKUP($A163,'Pre-Assessment Estimator'!$A$10:$Z$226,S$2,FALSE))</f>
        <v/>
      </c>
      <c r="T163" s="581"/>
      <c r="U163" s="580" t="str">
        <f>IF(VLOOKUP($A163,'Pre-Assessment Estimator'!$A$10:$Z$226,U$2,FALSE)=0,"",VLOOKUP($A163,'Pre-Assessment Estimator'!$A$10:$Z$226,U$2,FALSE))</f>
        <v/>
      </c>
      <c r="V163" s="575" t="str">
        <f>VLOOKUP($A163,'Pre-Assessment Estimator'!$A$10:$Z$226,V$2,FALSE)</f>
        <v>0 c. 0 %</v>
      </c>
      <c r="W163" s="574" t="str">
        <f>VLOOKUP($A163,'Pre-Assessment Estimator'!$A$10:$Z$226,W$2,FALSE)</f>
        <v>N/A</v>
      </c>
      <c r="X163" s="577" t="str">
        <f>IF(VLOOKUP($A163,'Pre-Assessment Estimator'!$A$10:$Z$226,X$2,FALSE)=0,"",VLOOKUP($A163,'Pre-Assessment Estimator'!$A$10:$Z$226,X$2,FALSE))</f>
        <v/>
      </c>
      <c r="Y163" s="577" t="str">
        <f>IF(VLOOKUP($A163,'Pre-Assessment Estimator'!$A$10:$Z$226,Y$2,FALSE)=0,"",VLOOKUP($A163,'Pre-Assessment Estimator'!$A$10:$Z$226,Y$2,FALSE))</f>
        <v/>
      </c>
      <c r="Z163" s="370" t="str">
        <f>IF(VLOOKUP($A163,'Pre-Assessment Estimator'!$A$10:$Z$226,Z$2,FALSE)=0,"",VLOOKUP($A163,'Pre-Assessment Estimator'!$A$10:$Z$226,Z$2,FALSE))</f>
        <v/>
      </c>
      <c r="AA163" s="696">
        <v>153</v>
      </c>
      <c r="AB163" s="577"/>
      <c r="AF163" s="386">
        <f t="shared" si="3"/>
        <v>1</v>
      </c>
    </row>
    <row r="164" spans="1:32" x14ac:dyDescent="0.25">
      <c r="A164" s="823">
        <v>155</v>
      </c>
      <c r="B164" s="1234" t="s">
        <v>70</v>
      </c>
      <c r="C164" s="1234"/>
      <c r="D164" s="1257" t="str">
        <f>VLOOKUP($A164,'Pre-Assessment Estimator'!$A$10:$Z$226,D$2,FALSE)</f>
        <v>LE 01</v>
      </c>
      <c r="E164" s="1258" t="str">
        <f>VLOOKUP($A164,'Pre-Assessment Estimator'!$A$10:$Z$226,E$2,FALSE)</f>
        <v>Previously occupied land</v>
      </c>
      <c r="F164" s="574">
        <f>VLOOKUP($A164,'Pre-Assessment Estimator'!$A$10:$Z$226,F$2,FALSE)</f>
        <v>2</v>
      </c>
      <c r="G164" s="580" t="str">
        <f>IF(VLOOKUP($A164,'Pre-Assessment Estimator'!$A$10:$Z$226,G$2,FALSE)=0,"",VLOOKUP($A164,'Pre-Assessment Estimator'!$A$10:$Z$226,G$2,FALSE))</f>
        <v/>
      </c>
      <c r="H164" s="1220">
        <f>VLOOKUP($A164,'Pre-Assessment Estimator'!$A$10:$Z$226,H$2,FALSE)</f>
        <v>0</v>
      </c>
      <c r="I164" s="576" t="str">
        <f>VLOOKUP($A164,'Pre-Assessment Estimator'!$A$10:$Z$226,I$2,FALSE)</f>
        <v>N/A</v>
      </c>
      <c r="J164" s="577" t="str">
        <f>IF(VLOOKUP($A164,'Pre-Assessment Estimator'!$A$10:$Z$226,J$2,FALSE)=0,"",VLOOKUP($A164,'Pre-Assessment Estimator'!$A$10:$Z$226,J$2,FALSE))</f>
        <v/>
      </c>
      <c r="K164" s="577" t="str">
        <f>IF(VLOOKUP($A164,'Pre-Assessment Estimator'!$A$10:$Z$226,K$2,FALSE)=0,"",VLOOKUP($A164,'Pre-Assessment Estimator'!$A$10:$Z$226,K$2,FALSE))</f>
        <v/>
      </c>
      <c r="L164" s="578" t="str">
        <f>IF(VLOOKUP($A164,'Pre-Assessment Estimator'!$A$10:$Z$226,L$2,FALSE)=0,"",VLOOKUP($A164,'Pre-Assessment Estimator'!$A$10:$Z$226,L$2,FALSE))</f>
        <v/>
      </c>
      <c r="M164" s="579"/>
      <c r="N164" s="580" t="str">
        <f>IF(VLOOKUP($A164,'Pre-Assessment Estimator'!$A$10:$Z$226,N$2,FALSE)=0,"",VLOOKUP($A164,'Pre-Assessment Estimator'!$A$10:$Z$226,N$2,FALSE))</f>
        <v/>
      </c>
      <c r="O164" s="575">
        <f>VLOOKUP($A164,'Pre-Assessment Estimator'!$A$10:$Z$226,O$2,FALSE)</f>
        <v>0</v>
      </c>
      <c r="P164" s="574" t="str">
        <f>VLOOKUP($A164,'Pre-Assessment Estimator'!$A$10:$Z$226,P$2,FALSE)</f>
        <v>N/A</v>
      </c>
      <c r="Q164" s="577" t="str">
        <f>IF(VLOOKUP($A164,'Pre-Assessment Estimator'!$A$10:$Z$226,Q$2,FALSE)=0,"",VLOOKUP($A164,'Pre-Assessment Estimator'!$A$10:$Z$226,Q$2,FALSE))</f>
        <v/>
      </c>
      <c r="R164" s="577" t="str">
        <f>IF(VLOOKUP($A164,'Pre-Assessment Estimator'!$A$10:$Z$226,R$2,FALSE)=0,"",VLOOKUP($A164,'Pre-Assessment Estimator'!$A$10:$Z$226,R$2,FALSE))</f>
        <v/>
      </c>
      <c r="S164" s="578" t="str">
        <f>IF(VLOOKUP($A164,'Pre-Assessment Estimator'!$A$10:$Z$226,S$2,FALSE)=0,"",VLOOKUP($A164,'Pre-Assessment Estimator'!$A$10:$Z$226,S$2,FALSE))</f>
        <v/>
      </c>
      <c r="T164" s="581"/>
      <c r="U164" s="580" t="str">
        <f>IF(VLOOKUP($A164,'Pre-Assessment Estimator'!$A$10:$Z$226,U$2,FALSE)=0,"",VLOOKUP($A164,'Pre-Assessment Estimator'!$A$10:$Z$226,U$2,FALSE))</f>
        <v/>
      </c>
      <c r="V164" s="575">
        <f>VLOOKUP($A164,'Pre-Assessment Estimator'!$A$10:$Z$226,V$2,FALSE)</f>
        <v>0</v>
      </c>
      <c r="W164" s="574" t="str">
        <f>VLOOKUP($A164,'Pre-Assessment Estimator'!$A$10:$Z$226,W$2,FALSE)</f>
        <v>N/A</v>
      </c>
      <c r="X164" s="577" t="str">
        <f>IF(VLOOKUP($A164,'Pre-Assessment Estimator'!$A$10:$Z$226,X$2,FALSE)=0,"",VLOOKUP($A164,'Pre-Assessment Estimator'!$A$10:$Z$226,X$2,FALSE))</f>
        <v/>
      </c>
      <c r="Y164" s="577" t="str">
        <f>IF(VLOOKUP($A164,'Pre-Assessment Estimator'!$A$10:$Z$226,Y$2,FALSE)=0,"",VLOOKUP($A164,'Pre-Assessment Estimator'!$A$10:$Z$226,Y$2,FALSE))</f>
        <v/>
      </c>
      <c r="Z164" s="370" t="str">
        <f>IF(VLOOKUP($A164,'Pre-Assessment Estimator'!$A$10:$Z$226,Z$2,FALSE)=0,"",VLOOKUP($A164,'Pre-Assessment Estimator'!$A$10:$Z$226,Z$2,FALSE))</f>
        <v/>
      </c>
      <c r="AA164" s="696">
        <v>154</v>
      </c>
      <c r="AB164" s="577"/>
      <c r="AF164" s="386">
        <f t="shared" si="3"/>
        <v>1</v>
      </c>
    </row>
    <row r="165" spans="1:32" ht="30" x14ac:dyDescent="0.25">
      <c r="A165" s="823">
        <v>156</v>
      </c>
      <c r="B165" s="1234" t="s">
        <v>70</v>
      </c>
      <c r="C165" s="1234"/>
      <c r="D165" s="1257" t="str">
        <f>VLOOKUP($A165,'Pre-Assessment Estimator'!$A$10:$Z$226,D$2,FALSE)</f>
        <v>LE 01</v>
      </c>
      <c r="E165" s="1258" t="str">
        <f>VLOOKUP($A165,'Pre-Assessment Estimator'!$A$10:$Z$226,E$2,FALSE)</f>
        <v>Minimum req: agricultural area / forest (EU taxonomy requirement: criterion 2)</v>
      </c>
      <c r="F165" s="574" t="str">
        <f>VLOOKUP($A165,'Pre-Assessment Estimator'!$A$10:$Z$226,F$2,FALSE)</f>
        <v>Yes/No</v>
      </c>
      <c r="G165" s="580" t="str">
        <f>IF(VLOOKUP($A165,'Pre-Assessment Estimator'!$A$10:$Z$226,G$2,FALSE)=0,"",VLOOKUP($A165,'Pre-Assessment Estimator'!$A$10:$Z$226,G$2,FALSE))</f>
        <v/>
      </c>
      <c r="H165" s="1220" t="str">
        <f>VLOOKUP($A165,'Pre-Assessment Estimator'!$A$10:$Z$226,H$2,FALSE)</f>
        <v>-</v>
      </c>
      <c r="I165" s="576" t="str">
        <f>VLOOKUP($A165,'Pre-Assessment Estimator'!$A$10:$Z$226,I$2,FALSE)</f>
        <v>Very Good</v>
      </c>
      <c r="J165" s="577" t="str">
        <f>IF(VLOOKUP($A165,'Pre-Assessment Estimator'!$A$10:$Z$226,J$2,FALSE)=0,"",VLOOKUP($A165,'Pre-Assessment Estimator'!$A$10:$Z$226,J$2,FALSE))</f>
        <v/>
      </c>
      <c r="K165" s="577" t="str">
        <f>IF(VLOOKUP($A165,'Pre-Assessment Estimator'!$A$10:$Z$226,K$2,FALSE)=0,"",VLOOKUP($A165,'Pre-Assessment Estimator'!$A$10:$Z$226,K$2,FALSE))</f>
        <v/>
      </c>
      <c r="L165" s="578" t="str">
        <f>IF(VLOOKUP($A165,'Pre-Assessment Estimator'!$A$10:$Z$226,L$2,FALSE)=0,"",VLOOKUP($A165,'Pre-Assessment Estimator'!$A$10:$Z$226,L$2,FALSE))</f>
        <v/>
      </c>
      <c r="M165" s="579"/>
      <c r="N165" s="580" t="str">
        <f>IF(VLOOKUP($A165,'Pre-Assessment Estimator'!$A$10:$Z$226,N$2,FALSE)=0,"",VLOOKUP($A165,'Pre-Assessment Estimator'!$A$10:$Z$226,N$2,FALSE))</f>
        <v/>
      </c>
      <c r="O165" s="575" t="str">
        <f>VLOOKUP($A165,'Pre-Assessment Estimator'!$A$10:$Z$226,O$2,FALSE)</f>
        <v>-</v>
      </c>
      <c r="P165" s="574" t="str">
        <f>VLOOKUP($A165,'Pre-Assessment Estimator'!$A$10:$Z$226,P$2,FALSE)</f>
        <v>Very Good</v>
      </c>
      <c r="Q165" s="577" t="str">
        <f>IF(VLOOKUP($A165,'Pre-Assessment Estimator'!$A$10:$Z$226,Q$2,FALSE)=0,"",VLOOKUP($A165,'Pre-Assessment Estimator'!$A$10:$Z$226,Q$2,FALSE))</f>
        <v/>
      </c>
      <c r="R165" s="577" t="str">
        <f>IF(VLOOKUP($A165,'Pre-Assessment Estimator'!$A$10:$Z$226,R$2,FALSE)=0,"",VLOOKUP($A165,'Pre-Assessment Estimator'!$A$10:$Z$226,R$2,FALSE))</f>
        <v/>
      </c>
      <c r="S165" s="578" t="str">
        <f>IF(VLOOKUP($A165,'Pre-Assessment Estimator'!$A$10:$Z$226,S$2,FALSE)=0,"",VLOOKUP($A165,'Pre-Assessment Estimator'!$A$10:$Z$226,S$2,FALSE))</f>
        <v/>
      </c>
      <c r="T165" s="581"/>
      <c r="U165" s="580" t="str">
        <f>IF(VLOOKUP($A165,'Pre-Assessment Estimator'!$A$10:$Z$226,U$2,FALSE)=0,"",VLOOKUP($A165,'Pre-Assessment Estimator'!$A$10:$Z$226,U$2,FALSE))</f>
        <v/>
      </c>
      <c r="V165" s="575" t="str">
        <f>VLOOKUP($A165,'Pre-Assessment Estimator'!$A$10:$Z$226,V$2,FALSE)</f>
        <v>-</v>
      </c>
      <c r="W165" s="574" t="str">
        <f>VLOOKUP($A165,'Pre-Assessment Estimator'!$A$10:$Z$226,W$2,FALSE)</f>
        <v>Very Good</v>
      </c>
      <c r="X165" s="577" t="str">
        <f>IF(VLOOKUP($A165,'Pre-Assessment Estimator'!$A$10:$Z$226,X$2,FALSE)=0,"",VLOOKUP($A165,'Pre-Assessment Estimator'!$A$10:$Z$226,X$2,FALSE))</f>
        <v/>
      </c>
      <c r="Y165" s="577" t="str">
        <f>IF(VLOOKUP($A165,'Pre-Assessment Estimator'!$A$10:$Z$226,Y$2,FALSE)=0,"",VLOOKUP($A165,'Pre-Assessment Estimator'!$A$10:$Z$226,Y$2,FALSE))</f>
        <v/>
      </c>
      <c r="Z165" s="370" t="str">
        <f>IF(VLOOKUP($A165,'Pre-Assessment Estimator'!$A$10:$Z$226,Z$2,FALSE)=0,"",VLOOKUP($A165,'Pre-Assessment Estimator'!$A$10:$Z$226,Z$2,FALSE))</f>
        <v/>
      </c>
      <c r="AA165" s="696">
        <v>155</v>
      </c>
      <c r="AB165" s="577"/>
      <c r="AF165" s="386">
        <f t="shared" si="3"/>
        <v>1</v>
      </c>
    </row>
    <row r="166" spans="1:32" x14ac:dyDescent="0.25">
      <c r="A166" s="823">
        <v>157</v>
      </c>
      <c r="B166" s="1234" t="s">
        <v>70</v>
      </c>
      <c r="C166" s="1234"/>
      <c r="D166" s="1256" t="str">
        <f>VLOOKUP($A166,'Pre-Assessment Estimator'!$A$10:$Z$226,D$2,FALSE)</f>
        <v>LE 02</v>
      </c>
      <c r="E166" s="1256" t="str">
        <f>VLOOKUP($A166,'Pre-Assessment Estimator'!$A$10:$Z$226,E$2,FALSE)</f>
        <v>LE 02 Ecological risks and opportunities</v>
      </c>
      <c r="F166" s="574">
        <f>VLOOKUP($A166,'Pre-Assessment Estimator'!$A$10:$Z$226,F$2,FALSE)</f>
        <v>2</v>
      </c>
      <c r="G166" s="580" t="str">
        <f>IF(VLOOKUP($A166,'Pre-Assessment Estimator'!$A$10:$Z$226,G$2,FALSE)=0,"",VLOOKUP($A166,'Pre-Assessment Estimator'!$A$10:$Z$226,G$2,FALSE))</f>
        <v/>
      </c>
      <c r="H166" s="1220" t="str">
        <f>VLOOKUP($A166,'Pre-Assessment Estimator'!$A$10:$Z$226,H$2,FALSE)</f>
        <v>0 c. 0 %</v>
      </c>
      <c r="I166" s="576" t="str">
        <f>VLOOKUP($A166,'Pre-Assessment Estimator'!$A$10:$Z$226,I$2,FALSE)</f>
        <v>N/A</v>
      </c>
      <c r="J166" s="577" t="str">
        <f>IF(VLOOKUP($A166,'Pre-Assessment Estimator'!$A$10:$Z$226,J$2,FALSE)=0,"",VLOOKUP($A166,'Pre-Assessment Estimator'!$A$10:$Z$226,J$2,FALSE))</f>
        <v/>
      </c>
      <c r="K166" s="577" t="str">
        <f>IF(VLOOKUP($A166,'Pre-Assessment Estimator'!$A$10:$Z$226,K$2,FALSE)=0,"",VLOOKUP($A166,'Pre-Assessment Estimator'!$A$10:$Z$226,K$2,FALSE))</f>
        <v/>
      </c>
      <c r="L166" s="578" t="str">
        <f>IF(VLOOKUP($A166,'Pre-Assessment Estimator'!$A$10:$Z$226,L$2,FALSE)=0,"",VLOOKUP($A166,'Pre-Assessment Estimator'!$A$10:$Z$226,L$2,FALSE))</f>
        <v/>
      </c>
      <c r="M166" s="579"/>
      <c r="N166" s="580" t="str">
        <f>IF(VLOOKUP($A166,'Pre-Assessment Estimator'!$A$10:$Z$226,N$2,FALSE)=0,"",VLOOKUP($A166,'Pre-Assessment Estimator'!$A$10:$Z$226,N$2,FALSE))</f>
        <v/>
      </c>
      <c r="O166" s="575" t="str">
        <f>VLOOKUP($A166,'Pre-Assessment Estimator'!$A$10:$Z$226,O$2,FALSE)</f>
        <v>0 c. 0 %</v>
      </c>
      <c r="P166" s="574" t="str">
        <f>VLOOKUP($A166,'Pre-Assessment Estimator'!$A$10:$Z$226,P$2,FALSE)</f>
        <v>N/A</v>
      </c>
      <c r="Q166" s="577" t="str">
        <f>IF(VLOOKUP($A166,'Pre-Assessment Estimator'!$A$10:$Z$226,Q$2,FALSE)=0,"",VLOOKUP($A166,'Pre-Assessment Estimator'!$A$10:$Z$226,Q$2,FALSE))</f>
        <v/>
      </c>
      <c r="R166" s="577" t="str">
        <f>IF(VLOOKUP($A166,'Pre-Assessment Estimator'!$A$10:$Z$226,R$2,FALSE)=0,"",VLOOKUP($A166,'Pre-Assessment Estimator'!$A$10:$Z$226,R$2,FALSE))</f>
        <v/>
      </c>
      <c r="S166" s="578" t="str">
        <f>IF(VLOOKUP($A166,'Pre-Assessment Estimator'!$A$10:$Z$226,S$2,FALSE)=0,"",VLOOKUP($A166,'Pre-Assessment Estimator'!$A$10:$Z$226,S$2,FALSE))</f>
        <v/>
      </c>
      <c r="T166" s="581"/>
      <c r="U166" s="580" t="str">
        <f>IF(VLOOKUP($A166,'Pre-Assessment Estimator'!$A$10:$Z$226,U$2,FALSE)=0,"",VLOOKUP($A166,'Pre-Assessment Estimator'!$A$10:$Z$226,U$2,FALSE))</f>
        <v/>
      </c>
      <c r="V166" s="575" t="str">
        <f>VLOOKUP($A166,'Pre-Assessment Estimator'!$A$10:$Z$226,V$2,FALSE)</f>
        <v>0 c. 0 %</v>
      </c>
      <c r="W166" s="574" t="str">
        <f>VLOOKUP($A166,'Pre-Assessment Estimator'!$A$10:$Z$226,W$2,FALSE)</f>
        <v>N/A</v>
      </c>
      <c r="X166" s="577" t="str">
        <f>IF(VLOOKUP($A166,'Pre-Assessment Estimator'!$A$10:$Z$226,X$2,FALSE)=0,"",VLOOKUP($A166,'Pre-Assessment Estimator'!$A$10:$Z$226,X$2,FALSE))</f>
        <v/>
      </c>
      <c r="Y166" s="577" t="str">
        <f>IF(VLOOKUP($A166,'Pre-Assessment Estimator'!$A$10:$Z$226,Y$2,FALSE)=0,"",VLOOKUP($A166,'Pre-Assessment Estimator'!$A$10:$Z$226,Y$2,FALSE))</f>
        <v/>
      </c>
      <c r="Z166" s="370" t="str">
        <f>IF(VLOOKUP($A166,'Pre-Assessment Estimator'!$A$10:$Z$226,Z$2,FALSE)=0,"",VLOOKUP($A166,'Pre-Assessment Estimator'!$A$10:$Z$226,Z$2,FALSE))</f>
        <v/>
      </c>
      <c r="AA166" s="696">
        <v>156</v>
      </c>
      <c r="AB166" s="577"/>
      <c r="AF166" s="386">
        <f t="shared" si="3"/>
        <v>1</v>
      </c>
    </row>
    <row r="167" spans="1:32" x14ac:dyDescent="0.25">
      <c r="A167" s="823">
        <v>158</v>
      </c>
      <c r="B167" s="1234" t="s">
        <v>70</v>
      </c>
      <c r="C167" s="1234"/>
      <c r="D167" s="1257" t="str">
        <f>VLOOKUP($A167,'Pre-Assessment Estimator'!$A$10:$Z$226,D$2,FALSE)</f>
        <v>LE 02</v>
      </c>
      <c r="E167" s="1258" t="str">
        <f>VLOOKUP($A167,'Pre-Assessment Estimator'!$A$10:$Z$226,E$2,FALSE)</f>
        <v>Pre-requisite: statutory obligations fulfilled</v>
      </c>
      <c r="F167" s="574" t="str">
        <f>VLOOKUP($A167,'Pre-Assessment Estimator'!$A$10:$Z$226,F$2,FALSE)</f>
        <v>Yes/No</v>
      </c>
      <c r="G167" s="580" t="str">
        <f>IF(VLOOKUP($A167,'Pre-Assessment Estimator'!$A$10:$Z$226,G$2,FALSE)=0,"",VLOOKUP($A167,'Pre-Assessment Estimator'!$A$10:$Z$226,G$2,FALSE))</f>
        <v/>
      </c>
      <c r="H167" s="1220" t="str">
        <f>VLOOKUP($A167,'Pre-Assessment Estimator'!$A$10:$Z$226,H$2,FALSE)</f>
        <v>-</v>
      </c>
      <c r="I167" s="576" t="str">
        <f>VLOOKUP($A167,'Pre-Assessment Estimator'!$A$10:$Z$226,I$2,FALSE)</f>
        <v>N/A</v>
      </c>
      <c r="J167" s="577" t="str">
        <f>IF(VLOOKUP($A167,'Pre-Assessment Estimator'!$A$10:$Z$226,J$2,FALSE)=0,"",VLOOKUP($A167,'Pre-Assessment Estimator'!$A$10:$Z$226,J$2,FALSE))</f>
        <v/>
      </c>
      <c r="K167" s="577" t="str">
        <f>IF(VLOOKUP($A167,'Pre-Assessment Estimator'!$A$10:$Z$226,K$2,FALSE)=0,"",VLOOKUP($A167,'Pre-Assessment Estimator'!$A$10:$Z$226,K$2,FALSE))</f>
        <v/>
      </c>
      <c r="L167" s="578" t="str">
        <f>IF(VLOOKUP($A167,'Pre-Assessment Estimator'!$A$10:$Z$226,L$2,FALSE)=0,"",VLOOKUP($A167,'Pre-Assessment Estimator'!$A$10:$Z$226,L$2,FALSE))</f>
        <v/>
      </c>
      <c r="M167" s="579"/>
      <c r="N167" s="580" t="str">
        <f>IF(VLOOKUP($A167,'Pre-Assessment Estimator'!$A$10:$Z$226,N$2,FALSE)=0,"",VLOOKUP($A167,'Pre-Assessment Estimator'!$A$10:$Z$226,N$2,FALSE))</f>
        <v/>
      </c>
      <c r="O167" s="575" t="str">
        <f>VLOOKUP($A167,'Pre-Assessment Estimator'!$A$10:$Z$226,O$2,FALSE)</f>
        <v>-</v>
      </c>
      <c r="P167" s="574" t="str">
        <f>VLOOKUP($A167,'Pre-Assessment Estimator'!$A$10:$Z$226,P$2,FALSE)</f>
        <v>N/A</v>
      </c>
      <c r="Q167" s="577" t="str">
        <f>IF(VLOOKUP($A167,'Pre-Assessment Estimator'!$A$10:$Z$226,Q$2,FALSE)=0,"",VLOOKUP($A167,'Pre-Assessment Estimator'!$A$10:$Z$226,Q$2,FALSE))</f>
        <v/>
      </c>
      <c r="R167" s="577" t="str">
        <f>IF(VLOOKUP($A167,'Pre-Assessment Estimator'!$A$10:$Z$226,R$2,FALSE)=0,"",VLOOKUP($A167,'Pre-Assessment Estimator'!$A$10:$Z$226,R$2,FALSE))</f>
        <v/>
      </c>
      <c r="S167" s="578" t="str">
        <f>IF(VLOOKUP($A167,'Pre-Assessment Estimator'!$A$10:$Z$226,S$2,FALSE)=0,"",VLOOKUP($A167,'Pre-Assessment Estimator'!$A$10:$Z$226,S$2,FALSE))</f>
        <v/>
      </c>
      <c r="T167" s="581"/>
      <c r="U167" s="580" t="str">
        <f>IF(VLOOKUP($A167,'Pre-Assessment Estimator'!$A$10:$Z$226,U$2,FALSE)=0,"",VLOOKUP($A167,'Pre-Assessment Estimator'!$A$10:$Z$226,U$2,FALSE))</f>
        <v/>
      </c>
      <c r="V167" s="575" t="str">
        <f>VLOOKUP($A167,'Pre-Assessment Estimator'!$A$10:$Z$226,V$2,FALSE)</f>
        <v>-</v>
      </c>
      <c r="W167" s="574" t="str">
        <f>VLOOKUP($A167,'Pre-Assessment Estimator'!$A$10:$Z$226,W$2,FALSE)</f>
        <v>N/A</v>
      </c>
      <c r="X167" s="577" t="str">
        <f>IF(VLOOKUP($A167,'Pre-Assessment Estimator'!$A$10:$Z$226,X$2,FALSE)=0,"",VLOOKUP($A167,'Pre-Assessment Estimator'!$A$10:$Z$226,X$2,FALSE))</f>
        <v/>
      </c>
      <c r="Y167" s="577" t="str">
        <f>IF(VLOOKUP($A167,'Pre-Assessment Estimator'!$A$10:$Z$226,Y$2,FALSE)=0,"",VLOOKUP($A167,'Pre-Assessment Estimator'!$A$10:$Z$226,Y$2,FALSE))</f>
        <v/>
      </c>
      <c r="Z167" s="370" t="str">
        <f>IF(VLOOKUP($A167,'Pre-Assessment Estimator'!$A$10:$Z$226,Z$2,FALSE)=0,"",VLOOKUP($A167,'Pre-Assessment Estimator'!$A$10:$Z$226,Z$2,FALSE))</f>
        <v/>
      </c>
      <c r="AA167" s="696">
        <v>157</v>
      </c>
      <c r="AB167" s="577"/>
      <c r="AF167" s="386">
        <f t="shared" si="3"/>
        <v>1</v>
      </c>
    </row>
    <row r="168" spans="1:32" x14ac:dyDescent="0.25">
      <c r="A168" s="823">
        <v>159</v>
      </c>
      <c r="B168" s="1234" t="s">
        <v>70</v>
      </c>
      <c r="C168" s="1234"/>
      <c r="D168" s="1257" t="str">
        <f>VLOOKUP($A168,'Pre-Assessment Estimator'!$A$10:$Z$226,D$2,FALSE)</f>
        <v>LE 02</v>
      </c>
      <c r="E168" s="1258" t="str">
        <f>VLOOKUP($A168,'Pre-Assessment Estimator'!$A$10:$Z$226,E$2,FALSE)</f>
        <v>Survey and evaluation (EU taxonomy requirement: criterion 2-4)</v>
      </c>
      <c r="F168" s="574">
        <f>VLOOKUP($A168,'Pre-Assessment Estimator'!$A$10:$Z$226,F$2,FALSE)</f>
        <v>1</v>
      </c>
      <c r="G168" s="580" t="str">
        <f>IF(VLOOKUP($A168,'Pre-Assessment Estimator'!$A$10:$Z$226,G$2,FALSE)=0,"",VLOOKUP($A168,'Pre-Assessment Estimator'!$A$10:$Z$226,G$2,FALSE))</f>
        <v/>
      </c>
      <c r="H168" s="1220">
        <f>VLOOKUP($A168,'Pre-Assessment Estimator'!$A$10:$Z$226,H$2,FALSE)</f>
        <v>0</v>
      </c>
      <c r="I168" s="576" t="str">
        <f>VLOOKUP($A168,'Pre-Assessment Estimator'!$A$10:$Z$226,I$2,FALSE)</f>
        <v>Good</v>
      </c>
      <c r="J168" s="577" t="str">
        <f>IF(VLOOKUP($A168,'Pre-Assessment Estimator'!$A$10:$Z$226,J$2,FALSE)=0,"",VLOOKUP($A168,'Pre-Assessment Estimator'!$A$10:$Z$226,J$2,FALSE))</f>
        <v/>
      </c>
      <c r="K168" s="577" t="str">
        <f>IF(VLOOKUP($A168,'Pre-Assessment Estimator'!$A$10:$Z$226,K$2,FALSE)=0,"",VLOOKUP($A168,'Pre-Assessment Estimator'!$A$10:$Z$226,K$2,FALSE))</f>
        <v/>
      </c>
      <c r="L168" s="578" t="str">
        <f>IF(VLOOKUP($A168,'Pre-Assessment Estimator'!$A$10:$Z$226,L$2,FALSE)=0,"",VLOOKUP($A168,'Pre-Assessment Estimator'!$A$10:$Z$226,L$2,FALSE))</f>
        <v/>
      </c>
      <c r="M168" s="579"/>
      <c r="N168" s="580" t="str">
        <f>IF(VLOOKUP($A168,'Pre-Assessment Estimator'!$A$10:$Z$226,N$2,FALSE)=0,"",VLOOKUP($A168,'Pre-Assessment Estimator'!$A$10:$Z$226,N$2,FALSE))</f>
        <v/>
      </c>
      <c r="O168" s="575">
        <f>VLOOKUP($A168,'Pre-Assessment Estimator'!$A$10:$Z$226,O$2,FALSE)</f>
        <v>0</v>
      </c>
      <c r="P168" s="574" t="str">
        <f>VLOOKUP($A168,'Pre-Assessment Estimator'!$A$10:$Z$226,P$2,FALSE)</f>
        <v>Good</v>
      </c>
      <c r="Q168" s="577" t="str">
        <f>IF(VLOOKUP($A168,'Pre-Assessment Estimator'!$A$10:$Z$226,Q$2,FALSE)=0,"",VLOOKUP($A168,'Pre-Assessment Estimator'!$A$10:$Z$226,Q$2,FALSE))</f>
        <v/>
      </c>
      <c r="R168" s="577" t="str">
        <f>IF(VLOOKUP($A168,'Pre-Assessment Estimator'!$A$10:$Z$226,R$2,FALSE)=0,"",VLOOKUP($A168,'Pre-Assessment Estimator'!$A$10:$Z$226,R$2,FALSE))</f>
        <v/>
      </c>
      <c r="S168" s="578" t="str">
        <f>IF(VLOOKUP($A168,'Pre-Assessment Estimator'!$A$10:$Z$226,S$2,FALSE)=0,"",VLOOKUP($A168,'Pre-Assessment Estimator'!$A$10:$Z$226,S$2,FALSE))</f>
        <v/>
      </c>
      <c r="T168" s="581"/>
      <c r="U168" s="580" t="str">
        <f>IF(VLOOKUP($A168,'Pre-Assessment Estimator'!$A$10:$Z$226,U$2,FALSE)=0,"",VLOOKUP($A168,'Pre-Assessment Estimator'!$A$10:$Z$226,U$2,FALSE))</f>
        <v/>
      </c>
      <c r="V168" s="575">
        <f>VLOOKUP($A168,'Pre-Assessment Estimator'!$A$10:$Z$226,V$2,FALSE)</f>
        <v>0</v>
      </c>
      <c r="W168" s="574" t="str">
        <f>VLOOKUP($A168,'Pre-Assessment Estimator'!$A$10:$Z$226,W$2,FALSE)</f>
        <v>Good</v>
      </c>
      <c r="X168" s="577" t="str">
        <f>IF(VLOOKUP($A168,'Pre-Assessment Estimator'!$A$10:$Z$226,X$2,FALSE)=0,"",VLOOKUP($A168,'Pre-Assessment Estimator'!$A$10:$Z$226,X$2,FALSE))</f>
        <v/>
      </c>
      <c r="Y168" s="577" t="str">
        <f>IF(VLOOKUP($A168,'Pre-Assessment Estimator'!$A$10:$Z$226,Y$2,FALSE)=0,"",VLOOKUP($A168,'Pre-Assessment Estimator'!$A$10:$Z$226,Y$2,FALSE))</f>
        <v/>
      </c>
      <c r="Z168" s="370" t="str">
        <f>IF(VLOOKUP($A168,'Pre-Assessment Estimator'!$A$10:$Z$226,Z$2,FALSE)=0,"",VLOOKUP($A168,'Pre-Assessment Estimator'!$A$10:$Z$226,Z$2,FALSE))</f>
        <v/>
      </c>
      <c r="AA168" s="696">
        <v>158</v>
      </c>
      <c r="AB168" s="577"/>
      <c r="AF168" s="386">
        <f t="shared" si="3"/>
        <v>1</v>
      </c>
    </row>
    <row r="169" spans="1:32" x14ac:dyDescent="0.25">
      <c r="A169" s="823">
        <v>160</v>
      </c>
      <c r="B169" s="1234" t="s">
        <v>70</v>
      </c>
      <c r="C169" s="1234"/>
      <c r="D169" s="1257" t="str">
        <f>VLOOKUP($A169,'Pre-Assessment Estimator'!$A$10:$Z$226,D$2,FALSE)</f>
        <v>LE 02</v>
      </c>
      <c r="E169" s="1258" t="str">
        <f>VLOOKUP($A169,'Pre-Assessment Estimator'!$A$10:$Z$226,E$2,FALSE)</f>
        <v>Determin ecological possibilities</v>
      </c>
      <c r="F169" s="574">
        <f>VLOOKUP($A169,'Pre-Assessment Estimator'!$A$10:$Z$226,F$2,FALSE)</f>
        <v>1</v>
      </c>
      <c r="G169" s="580" t="str">
        <f>IF(VLOOKUP($A169,'Pre-Assessment Estimator'!$A$10:$Z$226,G$2,FALSE)=0,"",VLOOKUP($A169,'Pre-Assessment Estimator'!$A$10:$Z$226,G$2,FALSE))</f>
        <v/>
      </c>
      <c r="H169" s="1220">
        <f>VLOOKUP($A169,'Pre-Assessment Estimator'!$A$10:$Z$226,H$2,FALSE)</f>
        <v>0</v>
      </c>
      <c r="I169" s="576" t="str">
        <f>VLOOKUP($A169,'Pre-Assessment Estimator'!$A$10:$Z$226,I$2,FALSE)</f>
        <v>N/A</v>
      </c>
      <c r="J169" s="577" t="str">
        <f>IF(VLOOKUP($A169,'Pre-Assessment Estimator'!$A$10:$Z$226,J$2,FALSE)=0,"",VLOOKUP($A169,'Pre-Assessment Estimator'!$A$10:$Z$226,J$2,FALSE))</f>
        <v/>
      </c>
      <c r="K169" s="577" t="str">
        <f>IF(VLOOKUP($A169,'Pre-Assessment Estimator'!$A$10:$Z$226,K$2,FALSE)=0,"",VLOOKUP($A169,'Pre-Assessment Estimator'!$A$10:$Z$226,K$2,FALSE))</f>
        <v/>
      </c>
      <c r="L169" s="578" t="str">
        <f>IF(VLOOKUP($A169,'Pre-Assessment Estimator'!$A$10:$Z$226,L$2,FALSE)=0,"",VLOOKUP($A169,'Pre-Assessment Estimator'!$A$10:$Z$226,L$2,FALSE))</f>
        <v/>
      </c>
      <c r="M169" s="579"/>
      <c r="N169" s="580" t="str">
        <f>IF(VLOOKUP($A169,'Pre-Assessment Estimator'!$A$10:$Z$226,N$2,FALSE)=0,"",VLOOKUP($A169,'Pre-Assessment Estimator'!$A$10:$Z$226,N$2,FALSE))</f>
        <v/>
      </c>
      <c r="O169" s="575">
        <f>VLOOKUP($A169,'Pre-Assessment Estimator'!$A$10:$Z$226,O$2,FALSE)</f>
        <v>0</v>
      </c>
      <c r="P169" s="574" t="str">
        <f>VLOOKUP($A169,'Pre-Assessment Estimator'!$A$10:$Z$226,P$2,FALSE)</f>
        <v>N/A</v>
      </c>
      <c r="Q169" s="577" t="str">
        <f>IF(VLOOKUP($A169,'Pre-Assessment Estimator'!$A$10:$Z$226,Q$2,FALSE)=0,"",VLOOKUP($A169,'Pre-Assessment Estimator'!$A$10:$Z$226,Q$2,FALSE))</f>
        <v/>
      </c>
      <c r="R169" s="577" t="str">
        <f>IF(VLOOKUP($A169,'Pre-Assessment Estimator'!$A$10:$Z$226,R$2,FALSE)=0,"",VLOOKUP($A169,'Pre-Assessment Estimator'!$A$10:$Z$226,R$2,FALSE))</f>
        <v/>
      </c>
      <c r="S169" s="578" t="str">
        <f>IF(VLOOKUP($A169,'Pre-Assessment Estimator'!$A$10:$Z$226,S$2,FALSE)=0,"",VLOOKUP($A169,'Pre-Assessment Estimator'!$A$10:$Z$226,S$2,FALSE))</f>
        <v/>
      </c>
      <c r="T169" s="581"/>
      <c r="U169" s="580" t="str">
        <f>IF(VLOOKUP($A169,'Pre-Assessment Estimator'!$A$10:$Z$226,U$2,FALSE)=0,"",VLOOKUP($A169,'Pre-Assessment Estimator'!$A$10:$Z$226,U$2,FALSE))</f>
        <v/>
      </c>
      <c r="V169" s="575">
        <f>VLOOKUP($A169,'Pre-Assessment Estimator'!$A$10:$Z$226,V$2,FALSE)</f>
        <v>0</v>
      </c>
      <c r="W169" s="574" t="str">
        <f>VLOOKUP($A169,'Pre-Assessment Estimator'!$A$10:$Z$226,W$2,FALSE)</f>
        <v>N/A</v>
      </c>
      <c r="X169" s="577" t="str">
        <f>IF(VLOOKUP($A169,'Pre-Assessment Estimator'!$A$10:$Z$226,X$2,FALSE)=0,"",VLOOKUP($A169,'Pre-Assessment Estimator'!$A$10:$Z$226,X$2,FALSE))</f>
        <v/>
      </c>
      <c r="Y169" s="577" t="str">
        <f>IF(VLOOKUP($A169,'Pre-Assessment Estimator'!$A$10:$Z$226,Y$2,FALSE)=0,"",VLOOKUP($A169,'Pre-Assessment Estimator'!$A$10:$Z$226,Y$2,FALSE))</f>
        <v/>
      </c>
      <c r="Z169" s="370" t="str">
        <f>IF(VLOOKUP($A169,'Pre-Assessment Estimator'!$A$10:$Z$226,Z$2,FALSE)=0,"",VLOOKUP($A169,'Pre-Assessment Estimator'!$A$10:$Z$226,Z$2,FALSE))</f>
        <v/>
      </c>
      <c r="AA169" s="696">
        <v>159</v>
      </c>
      <c r="AB169" s="577"/>
      <c r="AF169" s="386">
        <f t="shared" si="3"/>
        <v>1</v>
      </c>
    </row>
    <row r="170" spans="1:32" x14ac:dyDescent="0.25">
      <c r="A170" s="823">
        <v>161</v>
      </c>
      <c r="B170" s="1234" t="s">
        <v>70</v>
      </c>
      <c r="C170" s="1234"/>
      <c r="D170" s="1256" t="str">
        <f>VLOOKUP($A170,'Pre-Assessment Estimator'!$A$10:$Z$226,D$2,FALSE)</f>
        <v>LE 03</v>
      </c>
      <c r="E170" s="1256" t="str">
        <f>VLOOKUP($A170,'Pre-Assessment Estimator'!$A$10:$Z$226,E$2,FALSE)</f>
        <v>LE 03 Managing impacts on ecology</v>
      </c>
      <c r="F170" s="574">
        <f>VLOOKUP($A170,'Pre-Assessment Estimator'!$A$10:$Z$226,F$2,FALSE)</f>
        <v>3</v>
      </c>
      <c r="G170" s="580" t="str">
        <f>IF(VLOOKUP($A170,'Pre-Assessment Estimator'!$A$10:$Z$226,G$2,FALSE)=0,"",VLOOKUP($A170,'Pre-Assessment Estimator'!$A$10:$Z$226,G$2,FALSE))</f>
        <v/>
      </c>
      <c r="H170" s="1220" t="str">
        <f>VLOOKUP($A170,'Pre-Assessment Estimator'!$A$10:$Z$226,H$2,FALSE)</f>
        <v>0 c. 0 %</v>
      </c>
      <c r="I170" s="576" t="str">
        <f>VLOOKUP($A170,'Pre-Assessment Estimator'!$A$10:$Z$226,I$2,FALSE)</f>
        <v>N/A</v>
      </c>
      <c r="J170" s="577" t="str">
        <f>IF(VLOOKUP($A170,'Pre-Assessment Estimator'!$A$10:$Z$226,J$2,FALSE)=0,"",VLOOKUP($A170,'Pre-Assessment Estimator'!$A$10:$Z$226,J$2,FALSE))</f>
        <v/>
      </c>
      <c r="K170" s="577" t="str">
        <f>IF(VLOOKUP($A170,'Pre-Assessment Estimator'!$A$10:$Z$226,K$2,FALSE)=0,"",VLOOKUP($A170,'Pre-Assessment Estimator'!$A$10:$Z$226,K$2,FALSE))</f>
        <v/>
      </c>
      <c r="L170" s="578" t="str">
        <f>IF(VLOOKUP($A170,'Pre-Assessment Estimator'!$A$10:$Z$226,L$2,FALSE)=0,"",VLOOKUP($A170,'Pre-Assessment Estimator'!$A$10:$Z$226,L$2,FALSE))</f>
        <v/>
      </c>
      <c r="M170" s="579"/>
      <c r="N170" s="580" t="str">
        <f>IF(VLOOKUP($A170,'Pre-Assessment Estimator'!$A$10:$Z$226,N$2,FALSE)=0,"",VLOOKUP($A170,'Pre-Assessment Estimator'!$A$10:$Z$226,N$2,FALSE))</f>
        <v/>
      </c>
      <c r="O170" s="575" t="str">
        <f>VLOOKUP($A170,'Pre-Assessment Estimator'!$A$10:$Z$226,O$2,FALSE)</f>
        <v>0 c. 0 %</v>
      </c>
      <c r="P170" s="574" t="str">
        <f>VLOOKUP($A170,'Pre-Assessment Estimator'!$A$10:$Z$226,P$2,FALSE)</f>
        <v>N/A</v>
      </c>
      <c r="Q170" s="577" t="str">
        <f>IF(VLOOKUP($A170,'Pre-Assessment Estimator'!$A$10:$Z$226,Q$2,FALSE)=0,"",VLOOKUP($A170,'Pre-Assessment Estimator'!$A$10:$Z$226,Q$2,FALSE))</f>
        <v/>
      </c>
      <c r="R170" s="577" t="str">
        <f>IF(VLOOKUP($A170,'Pre-Assessment Estimator'!$A$10:$Z$226,R$2,FALSE)=0,"",VLOOKUP($A170,'Pre-Assessment Estimator'!$A$10:$Z$226,R$2,FALSE))</f>
        <v/>
      </c>
      <c r="S170" s="578" t="str">
        <f>IF(VLOOKUP($A170,'Pre-Assessment Estimator'!$A$10:$Z$226,S$2,FALSE)=0,"",VLOOKUP($A170,'Pre-Assessment Estimator'!$A$10:$Z$226,S$2,FALSE))</f>
        <v/>
      </c>
      <c r="T170" s="581"/>
      <c r="U170" s="580" t="str">
        <f>IF(VLOOKUP($A170,'Pre-Assessment Estimator'!$A$10:$Z$226,U$2,FALSE)=0,"",VLOOKUP($A170,'Pre-Assessment Estimator'!$A$10:$Z$226,U$2,FALSE))</f>
        <v/>
      </c>
      <c r="V170" s="575" t="str">
        <f>VLOOKUP($A170,'Pre-Assessment Estimator'!$A$10:$Z$226,V$2,FALSE)</f>
        <v>0 c. 0 %</v>
      </c>
      <c r="W170" s="574" t="str">
        <f>VLOOKUP($A170,'Pre-Assessment Estimator'!$A$10:$Z$226,W$2,FALSE)</f>
        <v>N/A</v>
      </c>
      <c r="X170" s="577" t="str">
        <f>IF(VLOOKUP($A170,'Pre-Assessment Estimator'!$A$10:$Z$226,X$2,FALSE)=0,"",VLOOKUP($A170,'Pre-Assessment Estimator'!$A$10:$Z$226,X$2,FALSE))</f>
        <v/>
      </c>
      <c r="Y170" s="577" t="str">
        <f>IF(VLOOKUP($A170,'Pre-Assessment Estimator'!$A$10:$Z$226,Y$2,FALSE)=0,"",VLOOKUP($A170,'Pre-Assessment Estimator'!$A$10:$Z$226,Y$2,FALSE))</f>
        <v/>
      </c>
      <c r="Z170" s="370" t="str">
        <f>IF(VLOOKUP($A170,'Pre-Assessment Estimator'!$A$10:$Z$226,Z$2,FALSE)=0,"",VLOOKUP($A170,'Pre-Assessment Estimator'!$A$10:$Z$226,Z$2,FALSE))</f>
        <v/>
      </c>
      <c r="AA170" s="696">
        <v>160</v>
      </c>
      <c r="AB170" s="577"/>
      <c r="AF170" s="386">
        <f t="shared" si="3"/>
        <v>1</v>
      </c>
    </row>
    <row r="171" spans="1:32" x14ac:dyDescent="0.25">
      <c r="A171" s="823">
        <v>162</v>
      </c>
      <c r="B171" s="1234" t="s">
        <v>70</v>
      </c>
      <c r="C171" s="1234"/>
      <c r="D171" s="1257" t="str">
        <f>VLOOKUP($A171,'Pre-Assessment Estimator'!$A$10:$Z$226,D$2,FALSE)</f>
        <v>LE 03</v>
      </c>
      <c r="E171" s="1258" t="str">
        <f>VLOOKUP($A171,'Pre-Assessment Estimator'!$A$10:$Z$226,E$2,FALSE)</f>
        <v>Pre-requisite: ecological risks and opportunities</v>
      </c>
      <c r="F171" s="574" t="str">
        <f>VLOOKUP($A171,'Pre-Assessment Estimator'!$A$10:$Z$226,F$2,FALSE)</f>
        <v>Yes/No</v>
      </c>
      <c r="G171" s="580" t="str">
        <f>IF(VLOOKUP($A171,'Pre-Assessment Estimator'!$A$10:$Z$226,G$2,FALSE)=0,"",VLOOKUP($A171,'Pre-Assessment Estimator'!$A$10:$Z$226,G$2,FALSE))</f>
        <v/>
      </c>
      <c r="H171" s="1220" t="str">
        <f>VLOOKUP($A171,'Pre-Assessment Estimator'!$A$10:$Z$226,H$2,FALSE)</f>
        <v>No</v>
      </c>
      <c r="I171" s="576" t="str">
        <f>VLOOKUP($A171,'Pre-Assessment Estimator'!$A$10:$Z$226,I$2,FALSE)</f>
        <v>N/A</v>
      </c>
      <c r="J171" s="577" t="str">
        <f>IF(VLOOKUP($A171,'Pre-Assessment Estimator'!$A$10:$Z$226,J$2,FALSE)=0,"",VLOOKUP($A171,'Pre-Assessment Estimator'!$A$10:$Z$226,J$2,FALSE))</f>
        <v/>
      </c>
      <c r="K171" s="577" t="str">
        <f>IF(VLOOKUP($A171,'Pre-Assessment Estimator'!$A$10:$Z$226,K$2,FALSE)=0,"",VLOOKUP($A171,'Pre-Assessment Estimator'!$A$10:$Z$226,K$2,FALSE))</f>
        <v/>
      </c>
      <c r="L171" s="578" t="str">
        <f>IF(VLOOKUP($A171,'Pre-Assessment Estimator'!$A$10:$Z$226,L$2,FALSE)=0,"",VLOOKUP($A171,'Pre-Assessment Estimator'!$A$10:$Z$226,L$2,FALSE))</f>
        <v/>
      </c>
      <c r="M171" s="579"/>
      <c r="N171" s="580" t="str">
        <f>IF(VLOOKUP($A171,'Pre-Assessment Estimator'!$A$10:$Z$226,N$2,FALSE)=0,"",VLOOKUP($A171,'Pre-Assessment Estimator'!$A$10:$Z$226,N$2,FALSE))</f>
        <v/>
      </c>
      <c r="O171" s="575" t="str">
        <f>VLOOKUP($A171,'Pre-Assessment Estimator'!$A$10:$Z$226,O$2,FALSE)</f>
        <v>No</v>
      </c>
      <c r="P171" s="574" t="str">
        <f>VLOOKUP($A171,'Pre-Assessment Estimator'!$A$10:$Z$226,P$2,FALSE)</f>
        <v>N/A</v>
      </c>
      <c r="Q171" s="577" t="str">
        <f>IF(VLOOKUP($A171,'Pre-Assessment Estimator'!$A$10:$Z$226,Q$2,FALSE)=0,"",VLOOKUP($A171,'Pre-Assessment Estimator'!$A$10:$Z$226,Q$2,FALSE))</f>
        <v/>
      </c>
      <c r="R171" s="577" t="str">
        <f>IF(VLOOKUP($A171,'Pre-Assessment Estimator'!$A$10:$Z$226,R$2,FALSE)=0,"",VLOOKUP($A171,'Pre-Assessment Estimator'!$A$10:$Z$226,R$2,FALSE))</f>
        <v/>
      </c>
      <c r="S171" s="578" t="str">
        <f>IF(VLOOKUP($A171,'Pre-Assessment Estimator'!$A$10:$Z$226,S$2,FALSE)=0,"",VLOOKUP($A171,'Pre-Assessment Estimator'!$A$10:$Z$226,S$2,FALSE))</f>
        <v/>
      </c>
      <c r="T171" s="581"/>
      <c r="U171" s="580" t="str">
        <f>IF(VLOOKUP($A171,'Pre-Assessment Estimator'!$A$10:$Z$226,U$2,FALSE)=0,"",VLOOKUP($A171,'Pre-Assessment Estimator'!$A$10:$Z$226,U$2,FALSE))</f>
        <v/>
      </c>
      <c r="V171" s="575" t="str">
        <f>VLOOKUP($A171,'Pre-Assessment Estimator'!$A$10:$Z$226,V$2,FALSE)</f>
        <v>No</v>
      </c>
      <c r="W171" s="574" t="str">
        <f>VLOOKUP($A171,'Pre-Assessment Estimator'!$A$10:$Z$226,W$2,FALSE)</f>
        <v>N/A</v>
      </c>
      <c r="X171" s="577" t="str">
        <f>IF(VLOOKUP($A171,'Pre-Assessment Estimator'!$A$10:$Z$226,X$2,FALSE)=0,"",VLOOKUP($A171,'Pre-Assessment Estimator'!$A$10:$Z$226,X$2,FALSE))</f>
        <v/>
      </c>
      <c r="Y171" s="577" t="str">
        <f>IF(VLOOKUP($A171,'Pre-Assessment Estimator'!$A$10:$Z$226,Y$2,FALSE)=0,"",VLOOKUP($A171,'Pre-Assessment Estimator'!$A$10:$Z$226,Y$2,FALSE))</f>
        <v/>
      </c>
      <c r="Z171" s="370" t="str">
        <f>IF(VLOOKUP($A171,'Pre-Assessment Estimator'!$A$10:$Z$226,Z$2,FALSE)=0,"",VLOOKUP($A171,'Pre-Assessment Estimator'!$A$10:$Z$226,Z$2,FALSE))</f>
        <v/>
      </c>
      <c r="AA171" s="696">
        <v>161</v>
      </c>
      <c r="AB171" s="577"/>
      <c r="AF171" s="386">
        <f t="shared" si="3"/>
        <v>1</v>
      </c>
    </row>
    <row r="172" spans="1:32" x14ac:dyDescent="0.25">
      <c r="A172" s="823">
        <v>163</v>
      </c>
      <c r="B172" s="1234" t="s">
        <v>70</v>
      </c>
      <c r="C172" s="1234"/>
      <c r="D172" s="1257" t="str">
        <f>VLOOKUP($A172,'Pre-Assessment Estimator'!$A$10:$Z$226,D$2,FALSE)</f>
        <v>LE 03</v>
      </c>
      <c r="E172" s="1258" t="str">
        <f>VLOOKUP($A172,'Pre-Assessment Estimator'!$A$10:$Z$226,E$2,FALSE)</f>
        <v>Planning and measures on site</v>
      </c>
      <c r="F172" s="574">
        <f>VLOOKUP($A172,'Pre-Assessment Estimator'!$A$10:$Z$226,F$2,FALSE)</f>
        <v>1</v>
      </c>
      <c r="G172" s="580" t="str">
        <f>IF(VLOOKUP($A172,'Pre-Assessment Estimator'!$A$10:$Z$226,G$2,FALSE)=0,"",VLOOKUP($A172,'Pre-Assessment Estimator'!$A$10:$Z$226,G$2,FALSE))</f>
        <v/>
      </c>
      <c r="H172" s="1220">
        <f>VLOOKUP($A172,'Pre-Assessment Estimator'!$A$10:$Z$226,H$2,FALSE)</f>
        <v>0</v>
      </c>
      <c r="I172" s="576" t="str">
        <f>VLOOKUP($A172,'Pre-Assessment Estimator'!$A$10:$Z$226,I$2,FALSE)</f>
        <v>N/A</v>
      </c>
      <c r="J172" s="577" t="str">
        <f>IF(VLOOKUP($A172,'Pre-Assessment Estimator'!$A$10:$Z$226,J$2,FALSE)=0,"",VLOOKUP($A172,'Pre-Assessment Estimator'!$A$10:$Z$226,J$2,FALSE))</f>
        <v/>
      </c>
      <c r="K172" s="577" t="str">
        <f>IF(VLOOKUP($A172,'Pre-Assessment Estimator'!$A$10:$Z$226,K$2,FALSE)=0,"",VLOOKUP($A172,'Pre-Assessment Estimator'!$A$10:$Z$226,K$2,FALSE))</f>
        <v/>
      </c>
      <c r="L172" s="578" t="str">
        <f>IF(VLOOKUP($A172,'Pre-Assessment Estimator'!$A$10:$Z$226,L$2,FALSE)=0,"",VLOOKUP($A172,'Pre-Assessment Estimator'!$A$10:$Z$226,L$2,FALSE))</f>
        <v/>
      </c>
      <c r="M172" s="579"/>
      <c r="N172" s="580" t="str">
        <f>IF(VLOOKUP($A172,'Pre-Assessment Estimator'!$A$10:$Z$226,N$2,FALSE)=0,"",VLOOKUP($A172,'Pre-Assessment Estimator'!$A$10:$Z$226,N$2,FALSE))</f>
        <v/>
      </c>
      <c r="O172" s="575">
        <f>VLOOKUP($A172,'Pre-Assessment Estimator'!$A$10:$Z$226,O$2,FALSE)</f>
        <v>0</v>
      </c>
      <c r="P172" s="574" t="str">
        <f>VLOOKUP($A172,'Pre-Assessment Estimator'!$A$10:$Z$226,P$2,FALSE)</f>
        <v>N/A</v>
      </c>
      <c r="Q172" s="577" t="str">
        <f>IF(VLOOKUP($A172,'Pre-Assessment Estimator'!$A$10:$Z$226,Q$2,FALSE)=0,"",VLOOKUP($A172,'Pre-Assessment Estimator'!$A$10:$Z$226,Q$2,FALSE))</f>
        <v/>
      </c>
      <c r="R172" s="577" t="str">
        <f>IF(VLOOKUP($A172,'Pre-Assessment Estimator'!$A$10:$Z$226,R$2,FALSE)=0,"",VLOOKUP($A172,'Pre-Assessment Estimator'!$A$10:$Z$226,R$2,FALSE))</f>
        <v/>
      </c>
      <c r="S172" s="578" t="str">
        <f>IF(VLOOKUP($A172,'Pre-Assessment Estimator'!$A$10:$Z$226,S$2,FALSE)=0,"",VLOOKUP($A172,'Pre-Assessment Estimator'!$A$10:$Z$226,S$2,FALSE))</f>
        <v/>
      </c>
      <c r="T172" s="581"/>
      <c r="U172" s="580" t="str">
        <f>IF(VLOOKUP($A172,'Pre-Assessment Estimator'!$A$10:$Z$226,U$2,FALSE)=0,"",VLOOKUP($A172,'Pre-Assessment Estimator'!$A$10:$Z$226,U$2,FALSE))</f>
        <v/>
      </c>
      <c r="V172" s="575">
        <f>VLOOKUP($A172,'Pre-Assessment Estimator'!$A$10:$Z$226,V$2,FALSE)</f>
        <v>0</v>
      </c>
      <c r="W172" s="574" t="str">
        <f>VLOOKUP($A172,'Pre-Assessment Estimator'!$A$10:$Z$226,W$2,FALSE)</f>
        <v>N/A</v>
      </c>
      <c r="X172" s="577" t="str">
        <f>IF(VLOOKUP($A172,'Pre-Assessment Estimator'!$A$10:$Z$226,X$2,FALSE)=0,"",VLOOKUP($A172,'Pre-Assessment Estimator'!$A$10:$Z$226,X$2,FALSE))</f>
        <v/>
      </c>
      <c r="Y172" s="577" t="str">
        <f>IF(VLOOKUP($A172,'Pre-Assessment Estimator'!$A$10:$Z$226,Y$2,FALSE)=0,"",VLOOKUP($A172,'Pre-Assessment Estimator'!$A$10:$Z$226,Y$2,FALSE))</f>
        <v/>
      </c>
      <c r="Z172" s="370" t="str">
        <f>IF(VLOOKUP($A172,'Pre-Assessment Estimator'!$A$10:$Z$226,Z$2,FALSE)=0,"",VLOOKUP($A172,'Pre-Assessment Estimator'!$A$10:$Z$226,Z$2,FALSE))</f>
        <v/>
      </c>
      <c r="AA172" s="696">
        <v>161</v>
      </c>
      <c r="AB172" s="577"/>
      <c r="AF172" s="386">
        <f t="shared" ref="AF172" si="4">IF(F172="",1,IF(F172=0,2,1))</f>
        <v>1</v>
      </c>
    </row>
    <row r="173" spans="1:32" x14ac:dyDescent="0.25">
      <c r="A173" s="823">
        <v>164</v>
      </c>
      <c r="B173" s="1234" t="s">
        <v>70</v>
      </c>
      <c r="C173" s="1234"/>
      <c r="D173" s="1257" t="str">
        <f>VLOOKUP($A173,'Pre-Assessment Estimator'!$A$10:$Z$226,D$2,FALSE)</f>
        <v>LE 03</v>
      </c>
      <c r="E173" s="1258" t="str">
        <f>VLOOKUP($A173,'Pre-Assessment Estimator'!$A$10:$Z$226,E$2,FALSE)</f>
        <v>Managing negative impacts</v>
      </c>
      <c r="F173" s="574">
        <f>VLOOKUP($A173,'Pre-Assessment Estimator'!$A$10:$Z$226,F$2,FALSE)</f>
        <v>2</v>
      </c>
      <c r="G173" s="580" t="str">
        <f>IF(VLOOKUP($A173,'Pre-Assessment Estimator'!$A$10:$Z$226,G$2,FALSE)=0,"",VLOOKUP($A173,'Pre-Assessment Estimator'!$A$10:$Z$226,G$2,FALSE))</f>
        <v/>
      </c>
      <c r="H173" s="1220">
        <f>VLOOKUP($A173,'Pre-Assessment Estimator'!$A$10:$Z$226,H$2,FALSE)</f>
        <v>0</v>
      </c>
      <c r="I173" s="576" t="str">
        <f>VLOOKUP($A173,'Pre-Assessment Estimator'!$A$10:$Z$226,I$2,FALSE)</f>
        <v>N/A</v>
      </c>
      <c r="J173" s="577" t="str">
        <f>IF(VLOOKUP($A173,'Pre-Assessment Estimator'!$A$10:$Z$226,J$2,FALSE)=0,"",VLOOKUP($A173,'Pre-Assessment Estimator'!$A$10:$Z$226,J$2,FALSE))</f>
        <v/>
      </c>
      <c r="K173" s="577" t="str">
        <f>IF(VLOOKUP($A173,'Pre-Assessment Estimator'!$A$10:$Z$226,K$2,FALSE)=0,"",VLOOKUP($A173,'Pre-Assessment Estimator'!$A$10:$Z$226,K$2,FALSE))</f>
        <v/>
      </c>
      <c r="L173" s="578" t="str">
        <f>IF(VLOOKUP($A173,'Pre-Assessment Estimator'!$A$10:$Z$226,L$2,FALSE)=0,"",VLOOKUP($A173,'Pre-Assessment Estimator'!$A$10:$Z$226,L$2,FALSE))</f>
        <v/>
      </c>
      <c r="M173" s="579"/>
      <c r="N173" s="580" t="str">
        <f>IF(VLOOKUP($A173,'Pre-Assessment Estimator'!$A$10:$Z$226,N$2,FALSE)=0,"",VLOOKUP($A173,'Pre-Assessment Estimator'!$A$10:$Z$226,N$2,FALSE))</f>
        <v/>
      </c>
      <c r="O173" s="575">
        <f>VLOOKUP($A173,'Pre-Assessment Estimator'!$A$10:$Z$226,O$2,FALSE)</f>
        <v>0</v>
      </c>
      <c r="P173" s="574" t="str">
        <f>VLOOKUP($A173,'Pre-Assessment Estimator'!$A$10:$Z$226,P$2,FALSE)</f>
        <v>N/A</v>
      </c>
      <c r="Q173" s="577" t="str">
        <f>IF(VLOOKUP($A173,'Pre-Assessment Estimator'!$A$10:$Z$226,Q$2,FALSE)=0,"",VLOOKUP($A173,'Pre-Assessment Estimator'!$A$10:$Z$226,Q$2,FALSE))</f>
        <v/>
      </c>
      <c r="R173" s="577" t="str">
        <f>IF(VLOOKUP($A173,'Pre-Assessment Estimator'!$A$10:$Z$226,R$2,FALSE)=0,"",VLOOKUP($A173,'Pre-Assessment Estimator'!$A$10:$Z$226,R$2,FALSE))</f>
        <v/>
      </c>
      <c r="S173" s="578" t="str">
        <f>IF(VLOOKUP($A173,'Pre-Assessment Estimator'!$A$10:$Z$226,S$2,FALSE)=0,"",VLOOKUP($A173,'Pre-Assessment Estimator'!$A$10:$Z$226,S$2,FALSE))</f>
        <v/>
      </c>
      <c r="T173" s="581"/>
      <c r="U173" s="580" t="str">
        <f>IF(VLOOKUP($A173,'Pre-Assessment Estimator'!$A$10:$Z$226,U$2,FALSE)=0,"",VLOOKUP($A173,'Pre-Assessment Estimator'!$A$10:$Z$226,U$2,FALSE))</f>
        <v/>
      </c>
      <c r="V173" s="575">
        <f>VLOOKUP($A173,'Pre-Assessment Estimator'!$A$10:$Z$226,V$2,FALSE)</f>
        <v>0</v>
      </c>
      <c r="W173" s="574" t="str">
        <f>VLOOKUP($A173,'Pre-Assessment Estimator'!$A$10:$Z$226,W$2,FALSE)</f>
        <v>N/A</v>
      </c>
      <c r="X173" s="577" t="str">
        <f>IF(VLOOKUP($A173,'Pre-Assessment Estimator'!$A$10:$Z$226,X$2,FALSE)=0,"",VLOOKUP($A173,'Pre-Assessment Estimator'!$A$10:$Z$226,X$2,FALSE))</f>
        <v/>
      </c>
      <c r="Y173" s="577" t="str">
        <f>IF(VLOOKUP($A173,'Pre-Assessment Estimator'!$A$10:$Z$226,Y$2,FALSE)=0,"",VLOOKUP($A173,'Pre-Assessment Estimator'!$A$10:$Z$226,Y$2,FALSE))</f>
        <v/>
      </c>
      <c r="Z173" s="370" t="str">
        <f>IF(VLOOKUP($A173,'Pre-Assessment Estimator'!$A$10:$Z$226,Z$2,FALSE)=0,"",VLOOKUP($A173,'Pre-Assessment Estimator'!$A$10:$Z$226,Z$2,FALSE))</f>
        <v/>
      </c>
      <c r="AA173" s="696">
        <v>162</v>
      </c>
      <c r="AB173" s="577"/>
      <c r="AF173" s="386">
        <f t="shared" si="3"/>
        <v>1</v>
      </c>
    </row>
    <row r="174" spans="1:32" x14ac:dyDescent="0.25">
      <c r="A174" s="823">
        <v>165</v>
      </c>
      <c r="B174" s="1234" t="s">
        <v>70</v>
      </c>
      <c r="C174" s="1234"/>
      <c r="D174" s="1256" t="str">
        <f>VLOOKUP($A174,'Pre-Assessment Estimator'!$A$10:$Z$226,D$2,FALSE)</f>
        <v>LE 04</v>
      </c>
      <c r="E174" s="1256" t="str">
        <f>VLOOKUP($A174,'Pre-Assessment Estimator'!$A$10:$Z$226,E$2,FALSE)</f>
        <v>LE 04 Ecological change and enhancement</v>
      </c>
      <c r="F174" s="574">
        <f>VLOOKUP($A174,'Pre-Assessment Estimator'!$A$10:$Z$226,F$2,FALSE)</f>
        <v>4</v>
      </c>
      <c r="G174" s="580" t="str">
        <f>IF(VLOOKUP($A174,'Pre-Assessment Estimator'!$A$10:$Z$226,G$2,FALSE)=0,"",VLOOKUP($A174,'Pre-Assessment Estimator'!$A$10:$Z$226,G$2,FALSE))</f>
        <v/>
      </c>
      <c r="H174" s="1220" t="str">
        <f>VLOOKUP($A174,'Pre-Assessment Estimator'!$A$10:$Z$226,H$2,FALSE)</f>
        <v>0 c. 0 %</v>
      </c>
      <c r="I174" s="576" t="str">
        <f>VLOOKUP($A174,'Pre-Assessment Estimator'!$A$10:$Z$226,I$2,FALSE)</f>
        <v>N/A</v>
      </c>
      <c r="J174" s="577" t="str">
        <f>IF(VLOOKUP($A174,'Pre-Assessment Estimator'!$A$10:$Z$226,J$2,FALSE)=0,"",VLOOKUP($A174,'Pre-Assessment Estimator'!$A$10:$Z$226,J$2,FALSE))</f>
        <v/>
      </c>
      <c r="K174" s="577" t="str">
        <f>IF(VLOOKUP($A174,'Pre-Assessment Estimator'!$A$10:$Z$226,K$2,FALSE)=0,"",VLOOKUP($A174,'Pre-Assessment Estimator'!$A$10:$Z$226,K$2,FALSE))</f>
        <v/>
      </c>
      <c r="L174" s="578" t="str">
        <f>IF(VLOOKUP($A174,'Pre-Assessment Estimator'!$A$10:$Z$226,L$2,FALSE)=0,"",VLOOKUP($A174,'Pre-Assessment Estimator'!$A$10:$Z$226,L$2,FALSE))</f>
        <v/>
      </c>
      <c r="M174" s="579"/>
      <c r="N174" s="580" t="str">
        <f>IF(VLOOKUP($A174,'Pre-Assessment Estimator'!$A$10:$Z$226,N$2,FALSE)=0,"",VLOOKUP($A174,'Pre-Assessment Estimator'!$A$10:$Z$226,N$2,FALSE))</f>
        <v/>
      </c>
      <c r="O174" s="575" t="str">
        <f>VLOOKUP($A174,'Pre-Assessment Estimator'!$A$10:$Z$226,O$2,FALSE)</f>
        <v>0 c. 0 %</v>
      </c>
      <c r="P174" s="574" t="str">
        <f>VLOOKUP($A174,'Pre-Assessment Estimator'!$A$10:$Z$226,P$2,FALSE)</f>
        <v>N/A</v>
      </c>
      <c r="Q174" s="577" t="str">
        <f>IF(VLOOKUP($A174,'Pre-Assessment Estimator'!$A$10:$Z$226,Q$2,FALSE)=0,"",VLOOKUP($A174,'Pre-Assessment Estimator'!$A$10:$Z$226,Q$2,FALSE))</f>
        <v/>
      </c>
      <c r="R174" s="577" t="str">
        <f>IF(VLOOKUP($A174,'Pre-Assessment Estimator'!$A$10:$Z$226,R$2,FALSE)=0,"",VLOOKUP($A174,'Pre-Assessment Estimator'!$A$10:$Z$226,R$2,FALSE))</f>
        <v/>
      </c>
      <c r="S174" s="578" t="str">
        <f>IF(VLOOKUP($A174,'Pre-Assessment Estimator'!$A$10:$Z$226,S$2,FALSE)=0,"",VLOOKUP($A174,'Pre-Assessment Estimator'!$A$10:$Z$226,S$2,FALSE))</f>
        <v/>
      </c>
      <c r="T174" s="581"/>
      <c r="U174" s="580" t="str">
        <f>IF(VLOOKUP($A174,'Pre-Assessment Estimator'!$A$10:$Z$226,U$2,FALSE)=0,"",VLOOKUP($A174,'Pre-Assessment Estimator'!$A$10:$Z$226,U$2,FALSE))</f>
        <v/>
      </c>
      <c r="V174" s="575" t="str">
        <f>VLOOKUP($A174,'Pre-Assessment Estimator'!$A$10:$Z$226,V$2,FALSE)</f>
        <v>0 c. 0 %</v>
      </c>
      <c r="W174" s="574" t="str">
        <f>VLOOKUP($A174,'Pre-Assessment Estimator'!$A$10:$Z$226,W$2,FALSE)</f>
        <v>N/A</v>
      </c>
      <c r="X174" s="577" t="str">
        <f>IF(VLOOKUP($A174,'Pre-Assessment Estimator'!$A$10:$Z$226,X$2,FALSE)=0,"",VLOOKUP($A174,'Pre-Assessment Estimator'!$A$10:$Z$226,X$2,FALSE))</f>
        <v/>
      </c>
      <c r="Y174" s="577" t="str">
        <f>IF(VLOOKUP($A174,'Pre-Assessment Estimator'!$A$10:$Z$226,Y$2,FALSE)=0,"",VLOOKUP($A174,'Pre-Assessment Estimator'!$A$10:$Z$226,Y$2,FALSE))</f>
        <v/>
      </c>
      <c r="Z174" s="370" t="str">
        <f>IF(VLOOKUP($A174,'Pre-Assessment Estimator'!$A$10:$Z$226,Z$2,FALSE)=0,"",VLOOKUP($A174,'Pre-Assessment Estimator'!$A$10:$Z$226,Z$2,FALSE))</f>
        <v/>
      </c>
      <c r="AA174" s="696">
        <v>163</v>
      </c>
      <c r="AB174" s="577"/>
      <c r="AF174" s="386">
        <f t="shared" si="3"/>
        <v>1</v>
      </c>
    </row>
    <row r="175" spans="1:32" x14ac:dyDescent="0.25">
      <c r="A175" s="823">
        <v>166</v>
      </c>
      <c r="B175" s="1234" t="s">
        <v>70</v>
      </c>
      <c r="C175" s="1234"/>
      <c r="D175" s="1257" t="str">
        <f>VLOOKUP($A175,'Pre-Assessment Estimator'!$A$10:$Z$226,D$2,FALSE)</f>
        <v>LE 04</v>
      </c>
      <c r="E175" s="1258" t="str">
        <f>VLOOKUP($A175,'Pre-Assessment Estimator'!$A$10:$Z$226,E$2,FALSE)</f>
        <v>Pre-requisite: managing negative impacts on ecology</v>
      </c>
      <c r="F175" s="574" t="str">
        <f>VLOOKUP($A175,'Pre-Assessment Estimator'!$A$10:$Z$226,F$2,FALSE)</f>
        <v>Yes/No</v>
      </c>
      <c r="G175" s="580" t="str">
        <f>IF(VLOOKUP($A175,'Pre-Assessment Estimator'!$A$10:$Z$226,G$2,FALSE)=0,"",VLOOKUP($A175,'Pre-Assessment Estimator'!$A$10:$Z$226,G$2,FALSE))</f>
        <v/>
      </c>
      <c r="H175" s="1220" t="str">
        <f>VLOOKUP($A175,'Pre-Assessment Estimator'!$A$10:$Z$226,H$2,FALSE)</f>
        <v>-</v>
      </c>
      <c r="I175" s="576" t="str">
        <f>VLOOKUP($A175,'Pre-Assessment Estimator'!$A$10:$Z$226,I$2,FALSE)</f>
        <v>N/A</v>
      </c>
      <c r="J175" s="577" t="str">
        <f>IF(VLOOKUP($A175,'Pre-Assessment Estimator'!$A$10:$Z$226,J$2,FALSE)=0,"",VLOOKUP($A175,'Pre-Assessment Estimator'!$A$10:$Z$226,J$2,FALSE))</f>
        <v/>
      </c>
      <c r="K175" s="577" t="str">
        <f>IF(VLOOKUP($A175,'Pre-Assessment Estimator'!$A$10:$Z$226,K$2,FALSE)=0,"",VLOOKUP($A175,'Pre-Assessment Estimator'!$A$10:$Z$226,K$2,FALSE))</f>
        <v/>
      </c>
      <c r="L175" s="578" t="str">
        <f>IF(VLOOKUP($A175,'Pre-Assessment Estimator'!$A$10:$Z$226,L$2,FALSE)=0,"",VLOOKUP($A175,'Pre-Assessment Estimator'!$A$10:$Z$226,L$2,FALSE))</f>
        <v/>
      </c>
      <c r="M175" s="579"/>
      <c r="N175" s="580" t="str">
        <f>IF(VLOOKUP($A175,'Pre-Assessment Estimator'!$A$10:$Z$226,N$2,FALSE)=0,"",VLOOKUP($A175,'Pre-Assessment Estimator'!$A$10:$Z$226,N$2,FALSE))</f>
        <v/>
      </c>
      <c r="O175" s="575" t="str">
        <f>VLOOKUP($A175,'Pre-Assessment Estimator'!$A$10:$Z$226,O$2,FALSE)</f>
        <v>-</v>
      </c>
      <c r="P175" s="574" t="str">
        <f>VLOOKUP($A175,'Pre-Assessment Estimator'!$A$10:$Z$226,P$2,FALSE)</f>
        <v>N/A</v>
      </c>
      <c r="Q175" s="577" t="str">
        <f>IF(VLOOKUP($A175,'Pre-Assessment Estimator'!$A$10:$Z$226,Q$2,FALSE)=0,"",VLOOKUP($A175,'Pre-Assessment Estimator'!$A$10:$Z$226,Q$2,FALSE))</f>
        <v/>
      </c>
      <c r="R175" s="577" t="str">
        <f>IF(VLOOKUP($A175,'Pre-Assessment Estimator'!$A$10:$Z$226,R$2,FALSE)=0,"",VLOOKUP($A175,'Pre-Assessment Estimator'!$A$10:$Z$226,R$2,FALSE))</f>
        <v/>
      </c>
      <c r="S175" s="578" t="str">
        <f>IF(VLOOKUP($A175,'Pre-Assessment Estimator'!$A$10:$Z$226,S$2,FALSE)=0,"",VLOOKUP($A175,'Pre-Assessment Estimator'!$A$10:$Z$226,S$2,FALSE))</f>
        <v/>
      </c>
      <c r="T175" s="581"/>
      <c r="U175" s="580" t="str">
        <f>IF(VLOOKUP($A175,'Pre-Assessment Estimator'!$A$10:$Z$226,U$2,FALSE)=0,"",VLOOKUP($A175,'Pre-Assessment Estimator'!$A$10:$Z$226,U$2,FALSE))</f>
        <v/>
      </c>
      <c r="V175" s="575" t="str">
        <f>VLOOKUP($A175,'Pre-Assessment Estimator'!$A$10:$Z$226,V$2,FALSE)</f>
        <v>-</v>
      </c>
      <c r="W175" s="574" t="str">
        <f>VLOOKUP($A175,'Pre-Assessment Estimator'!$A$10:$Z$226,W$2,FALSE)</f>
        <v>N/A</v>
      </c>
      <c r="X175" s="577" t="str">
        <f>IF(VLOOKUP($A175,'Pre-Assessment Estimator'!$A$10:$Z$226,X$2,FALSE)=0,"",VLOOKUP($A175,'Pre-Assessment Estimator'!$A$10:$Z$226,X$2,FALSE))</f>
        <v/>
      </c>
      <c r="Y175" s="577" t="str">
        <f>IF(VLOOKUP($A175,'Pre-Assessment Estimator'!$A$10:$Z$226,Y$2,FALSE)=0,"",VLOOKUP($A175,'Pre-Assessment Estimator'!$A$10:$Z$226,Y$2,FALSE))</f>
        <v/>
      </c>
      <c r="Z175" s="370" t="str">
        <f>IF(VLOOKUP($A175,'Pre-Assessment Estimator'!$A$10:$Z$226,Z$2,FALSE)=0,"",VLOOKUP($A175,'Pre-Assessment Estimator'!$A$10:$Z$226,Z$2,FALSE))</f>
        <v/>
      </c>
      <c r="AA175" s="696">
        <v>164</v>
      </c>
      <c r="AB175" s="577"/>
      <c r="AF175" s="386">
        <f t="shared" si="3"/>
        <v>1</v>
      </c>
    </row>
    <row r="176" spans="1:32" x14ac:dyDescent="0.25">
      <c r="A176" s="823">
        <v>167</v>
      </c>
      <c r="B176" s="1234" t="s">
        <v>70</v>
      </c>
      <c r="C176" s="1234"/>
      <c r="D176" s="1257" t="str">
        <f>VLOOKUP($A176,'Pre-Assessment Estimator'!$A$10:$Z$226,D$2,FALSE)</f>
        <v>LE 04</v>
      </c>
      <c r="E176" s="1258" t="str">
        <f>VLOOKUP($A176,'Pre-Assessment Estimator'!$A$10:$Z$226,E$2,FALSE)</f>
        <v>Ecological enhancement</v>
      </c>
      <c r="F176" s="574">
        <f>VLOOKUP($A176,'Pre-Assessment Estimator'!$A$10:$Z$226,F$2,FALSE)</f>
        <v>1</v>
      </c>
      <c r="G176" s="580" t="str">
        <f>IF(VLOOKUP($A176,'Pre-Assessment Estimator'!$A$10:$Z$226,G$2,FALSE)=0,"",VLOOKUP($A176,'Pre-Assessment Estimator'!$A$10:$Z$226,G$2,FALSE))</f>
        <v/>
      </c>
      <c r="H176" s="1220">
        <f>VLOOKUP($A176,'Pre-Assessment Estimator'!$A$10:$Z$226,H$2,FALSE)</f>
        <v>0</v>
      </c>
      <c r="I176" s="576" t="str">
        <f>VLOOKUP($A176,'Pre-Assessment Estimator'!$A$10:$Z$226,I$2,FALSE)</f>
        <v>Excellent</v>
      </c>
      <c r="J176" s="577" t="str">
        <f>IF(VLOOKUP($A176,'Pre-Assessment Estimator'!$A$10:$Z$226,J$2,FALSE)=0,"",VLOOKUP($A176,'Pre-Assessment Estimator'!$A$10:$Z$226,J$2,FALSE))</f>
        <v/>
      </c>
      <c r="K176" s="577" t="str">
        <f>IF(VLOOKUP($A176,'Pre-Assessment Estimator'!$A$10:$Z$226,K$2,FALSE)=0,"",VLOOKUP($A176,'Pre-Assessment Estimator'!$A$10:$Z$226,K$2,FALSE))</f>
        <v/>
      </c>
      <c r="L176" s="578" t="str">
        <f>IF(VLOOKUP($A176,'Pre-Assessment Estimator'!$A$10:$Z$226,L$2,FALSE)=0,"",VLOOKUP($A176,'Pre-Assessment Estimator'!$A$10:$Z$226,L$2,FALSE))</f>
        <v/>
      </c>
      <c r="M176" s="579"/>
      <c r="N176" s="580" t="str">
        <f>IF(VLOOKUP($A176,'Pre-Assessment Estimator'!$A$10:$Z$226,N$2,FALSE)=0,"",VLOOKUP($A176,'Pre-Assessment Estimator'!$A$10:$Z$226,N$2,FALSE))</f>
        <v/>
      </c>
      <c r="O176" s="575">
        <f>VLOOKUP($A176,'Pre-Assessment Estimator'!$A$10:$Z$226,O$2,FALSE)</f>
        <v>0</v>
      </c>
      <c r="P176" s="574" t="str">
        <f>VLOOKUP($A176,'Pre-Assessment Estimator'!$A$10:$Z$226,P$2,FALSE)</f>
        <v>Excellent</v>
      </c>
      <c r="Q176" s="577" t="str">
        <f>IF(VLOOKUP($A176,'Pre-Assessment Estimator'!$A$10:$Z$226,Q$2,FALSE)=0,"",VLOOKUP($A176,'Pre-Assessment Estimator'!$A$10:$Z$226,Q$2,FALSE))</f>
        <v/>
      </c>
      <c r="R176" s="577" t="str">
        <f>IF(VLOOKUP($A176,'Pre-Assessment Estimator'!$A$10:$Z$226,R$2,FALSE)=0,"",VLOOKUP($A176,'Pre-Assessment Estimator'!$A$10:$Z$226,R$2,FALSE))</f>
        <v/>
      </c>
      <c r="S176" s="578" t="str">
        <f>IF(VLOOKUP($A176,'Pre-Assessment Estimator'!$A$10:$Z$226,S$2,FALSE)=0,"",VLOOKUP($A176,'Pre-Assessment Estimator'!$A$10:$Z$226,S$2,FALSE))</f>
        <v/>
      </c>
      <c r="T176" s="581"/>
      <c r="U176" s="580" t="str">
        <f>IF(VLOOKUP($A176,'Pre-Assessment Estimator'!$A$10:$Z$226,U$2,FALSE)=0,"",VLOOKUP($A176,'Pre-Assessment Estimator'!$A$10:$Z$226,U$2,FALSE))</f>
        <v/>
      </c>
      <c r="V176" s="575">
        <f>VLOOKUP($A176,'Pre-Assessment Estimator'!$A$10:$Z$226,V$2,FALSE)</f>
        <v>0</v>
      </c>
      <c r="W176" s="574" t="str">
        <f>VLOOKUP($A176,'Pre-Assessment Estimator'!$A$10:$Z$226,W$2,FALSE)</f>
        <v>Excellent</v>
      </c>
      <c r="X176" s="577" t="str">
        <f>IF(VLOOKUP($A176,'Pre-Assessment Estimator'!$A$10:$Z$226,X$2,FALSE)=0,"",VLOOKUP($A176,'Pre-Assessment Estimator'!$A$10:$Z$226,X$2,FALSE))</f>
        <v/>
      </c>
      <c r="Y176" s="577" t="str">
        <f>IF(VLOOKUP($A176,'Pre-Assessment Estimator'!$A$10:$Z$226,Y$2,FALSE)=0,"",VLOOKUP($A176,'Pre-Assessment Estimator'!$A$10:$Z$226,Y$2,FALSE))</f>
        <v/>
      </c>
      <c r="Z176" s="370" t="str">
        <f>IF(VLOOKUP($A176,'Pre-Assessment Estimator'!$A$10:$Z$226,Z$2,FALSE)=0,"",VLOOKUP($A176,'Pre-Assessment Estimator'!$A$10:$Z$226,Z$2,FALSE))</f>
        <v/>
      </c>
      <c r="AA176" s="696">
        <v>165</v>
      </c>
      <c r="AB176" s="577"/>
      <c r="AF176" s="386">
        <f t="shared" si="3"/>
        <v>1</v>
      </c>
    </row>
    <row r="177" spans="1:32" x14ac:dyDescent="0.25">
      <c r="A177" s="823">
        <v>168</v>
      </c>
      <c r="B177" s="1234" t="s">
        <v>70</v>
      </c>
      <c r="C177" s="1234"/>
      <c r="D177" s="1257" t="str">
        <f>VLOOKUP($A177,'Pre-Assessment Estimator'!$A$10:$Z$226,D$2,FALSE)</f>
        <v>LE 04</v>
      </c>
      <c r="E177" s="1258" t="str">
        <f>VLOOKUP($A177,'Pre-Assessment Estimator'!$A$10:$Z$226,E$2,FALSE)</f>
        <v>Calculation of change in biodiversity</v>
      </c>
      <c r="F177" s="574">
        <f>VLOOKUP($A177,'Pre-Assessment Estimator'!$A$10:$Z$226,F$2,FALSE)</f>
        <v>3</v>
      </c>
      <c r="G177" s="580" t="str">
        <f>IF(VLOOKUP($A177,'Pre-Assessment Estimator'!$A$10:$Z$226,G$2,FALSE)=0,"",VLOOKUP($A177,'Pre-Assessment Estimator'!$A$10:$Z$226,G$2,FALSE))</f>
        <v/>
      </c>
      <c r="H177" s="1220">
        <f>VLOOKUP($A177,'Pre-Assessment Estimator'!$A$10:$Z$226,H$2,FALSE)</f>
        <v>0</v>
      </c>
      <c r="I177" s="576" t="str">
        <f>VLOOKUP($A177,'Pre-Assessment Estimator'!$A$10:$Z$226,I$2,FALSE)</f>
        <v>N/A</v>
      </c>
      <c r="J177" s="577" t="str">
        <f>IF(VLOOKUP($A177,'Pre-Assessment Estimator'!$A$10:$Z$226,J$2,FALSE)=0,"",VLOOKUP($A177,'Pre-Assessment Estimator'!$A$10:$Z$226,J$2,FALSE))</f>
        <v/>
      </c>
      <c r="K177" s="577" t="str">
        <f>IF(VLOOKUP($A177,'Pre-Assessment Estimator'!$A$10:$Z$226,K$2,FALSE)=0,"",VLOOKUP($A177,'Pre-Assessment Estimator'!$A$10:$Z$226,K$2,FALSE))</f>
        <v/>
      </c>
      <c r="L177" s="578" t="str">
        <f>IF(VLOOKUP($A177,'Pre-Assessment Estimator'!$A$10:$Z$226,L$2,FALSE)=0,"",VLOOKUP($A177,'Pre-Assessment Estimator'!$A$10:$Z$226,L$2,FALSE))</f>
        <v/>
      </c>
      <c r="M177" s="579"/>
      <c r="N177" s="580" t="str">
        <f>IF(VLOOKUP($A177,'Pre-Assessment Estimator'!$A$10:$Z$226,N$2,FALSE)=0,"",VLOOKUP($A177,'Pre-Assessment Estimator'!$A$10:$Z$226,N$2,FALSE))</f>
        <v/>
      </c>
      <c r="O177" s="575">
        <f>VLOOKUP($A177,'Pre-Assessment Estimator'!$A$10:$Z$226,O$2,FALSE)</f>
        <v>0</v>
      </c>
      <c r="P177" s="574" t="str">
        <f>VLOOKUP($A177,'Pre-Assessment Estimator'!$A$10:$Z$226,P$2,FALSE)</f>
        <v>N/A</v>
      </c>
      <c r="Q177" s="577" t="str">
        <f>IF(VLOOKUP($A177,'Pre-Assessment Estimator'!$A$10:$Z$226,Q$2,FALSE)=0,"",VLOOKUP($A177,'Pre-Assessment Estimator'!$A$10:$Z$226,Q$2,FALSE))</f>
        <v/>
      </c>
      <c r="R177" s="577" t="str">
        <f>IF(VLOOKUP($A177,'Pre-Assessment Estimator'!$A$10:$Z$226,R$2,FALSE)=0,"",VLOOKUP($A177,'Pre-Assessment Estimator'!$A$10:$Z$226,R$2,FALSE))</f>
        <v/>
      </c>
      <c r="S177" s="578" t="str">
        <f>IF(VLOOKUP($A177,'Pre-Assessment Estimator'!$A$10:$Z$226,S$2,FALSE)=0,"",VLOOKUP($A177,'Pre-Assessment Estimator'!$A$10:$Z$226,S$2,FALSE))</f>
        <v/>
      </c>
      <c r="T177" s="581"/>
      <c r="U177" s="580" t="str">
        <f>IF(VLOOKUP($A177,'Pre-Assessment Estimator'!$A$10:$Z$226,U$2,FALSE)=0,"",VLOOKUP($A177,'Pre-Assessment Estimator'!$A$10:$Z$226,U$2,FALSE))</f>
        <v/>
      </c>
      <c r="V177" s="575">
        <f>VLOOKUP($A177,'Pre-Assessment Estimator'!$A$10:$Z$226,V$2,FALSE)</f>
        <v>0</v>
      </c>
      <c r="W177" s="574" t="str">
        <f>VLOOKUP($A177,'Pre-Assessment Estimator'!$A$10:$Z$226,W$2,FALSE)</f>
        <v>N/A</v>
      </c>
      <c r="X177" s="577" t="str">
        <f>IF(VLOOKUP($A177,'Pre-Assessment Estimator'!$A$10:$Z$226,X$2,FALSE)=0,"",VLOOKUP($A177,'Pre-Assessment Estimator'!$A$10:$Z$226,X$2,FALSE))</f>
        <v/>
      </c>
      <c r="Y177" s="577" t="str">
        <f>IF(VLOOKUP($A177,'Pre-Assessment Estimator'!$A$10:$Z$226,Y$2,FALSE)=0,"",VLOOKUP($A177,'Pre-Assessment Estimator'!$A$10:$Z$226,Y$2,FALSE))</f>
        <v/>
      </c>
      <c r="Z177" s="370" t="str">
        <f>IF(VLOOKUP($A177,'Pre-Assessment Estimator'!$A$10:$Z$226,Z$2,FALSE)=0,"",VLOOKUP($A177,'Pre-Assessment Estimator'!$A$10:$Z$226,Z$2,FALSE))</f>
        <v/>
      </c>
      <c r="AA177" s="696">
        <v>166</v>
      </c>
      <c r="AB177" s="577" t="str">
        <f>IF(VLOOKUP($A177,'Pre-Assessment Estimator'!$A$10:$AB$226,AB$2,FALSE)=0,"",VLOOKUP($A177,'Pre-Assessment Estimator'!$A$10:$AB$226,AB$2,FALSE))</f>
        <v/>
      </c>
      <c r="AF177" s="386">
        <f t="shared" si="3"/>
        <v>1</v>
      </c>
    </row>
    <row r="178" spans="1:32" x14ac:dyDescent="0.25">
      <c r="A178" s="823">
        <v>169</v>
      </c>
      <c r="B178" s="1234" t="s">
        <v>70</v>
      </c>
      <c r="C178" s="1234"/>
      <c r="D178" s="1256" t="str">
        <f>VLOOKUP($A178,'Pre-Assessment Estimator'!$A$10:$Z$226,D$2,FALSE)</f>
        <v>LE 05</v>
      </c>
      <c r="E178" s="1256" t="str">
        <f>VLOOKUP($A178,'Pre-Assessment Estimator'!$A$10:$Z$226,E$2,FALSE)</f>
        <v>LE 05 Long term ecology management and maintenance</v>
      </c>
      <c r="F178" s="574">
        <f>VLOOKUP($A178,'Pre-Assessment Estimator'!$A$10:$Z$226,F$2,FALSE)</f>
        <v>2</v>
      </c>
      <c r="G178" s="580" t="str">
        <f>IF(VLOOKUP($A178,'Pre-Assessment Estimator'!$A$10:$Z$226,G$2,FALSE)=0,"",VLOOKUP($A178,'Pre-Assessment Estimator'!$A$10:$Z$226,G$2,FALSE))</f>
        <v/>
      </c>
      <c r="H178" s="1220" t="str">
        <f>VLOOKUP($A178,'Pre-Assessment Estimator'!$A$10:$Z$226,H$2,FALSE)</f>
        <v>0 c. 0 %</v>
      </c>
      <c r="I178" s="576" t="str">
        <f>VLOOKUP($A178,'Pre-Assessment Estimator'!$A$10:$Z$226,I$2,FALSE)</f>
        <v>N/A</v>
      </c>
      <c r="J178" s="577" t="str">
        <f>IF(VLOOKUP($A178,'Pre-Assessment Estimator'!$A$10:$Z$226,J$2,FALSE)=0,"",VLOOKUP($A178,'Pre-Assessment Estimator'!$A$10:$Z$226,J$2,FALSE))</f>
        <v/>
      </c>
      <c r="K178" s="577" t="str">
        <f>IF(VLOOKUP($A178,'Pre-Assessment Estimator'!$A$10:$Z$226,K$2,FALSE)=0,"",VLOOKUP($A178,'Pre-Assessment Estimator'!$A$10:$Z$226,K$2,FALSE))</f>
        <v/>
      </c>
      <c r="L178" s="578" t="str">
        <f>IF(VLOOKUP($A178,'Pre-Assessment Estimator'!$A$10:$Z$226,L$2,FALSE)=0,"",VLOOKUP($A178,'Pre-Assessment Estimator'!$A$10:$Z$226,L$2,FALSE))</f>
        <v/>
      </c>
      <c r="M178" s="579"/>
      <c r="N178" s="580" t="str">
        <f>IF(VLOOKUP($A178,'Pre-Assessment Estimator'!$A$10:$Z$226,N$2,FALSE)=0,"",VLOOKUP($A178,'Pre-Assessment Estimator'!$A$10:$Z$226,N$2,FALSE))</f>
        <v/>
      </c>
      <c r="O178" s="575" t="str">
        <f>VLOOKUP($A178,'Pre-Assessment Estimator'!$A$10:$Z$226,O$2,FALSE)</f>
        <v>0 c. 0 %</v>
      </c>
      <c r="P178" s="574" t="str">
        <f>VLOOKUP($A178,'Pre-Assessment Estimator'!$A$10:$Z$226,P$2,FALSE)</f>
        <v>N/A</v>
      </c>
      <c r="Q178" s="577" t="str">
        <f>IF(VLOOKUP($A178,'Pre-Assessment Estimator'!$A$10:$Z$226,Q$2,FALSE)=0,"",VLOOKUP($A178,'Pre-Assessment Estimator'!$A$10:$Z$226,Q$2,FALSE))</f>
        <v/>
      </c>
      <c r="R178" s="577" t="str">
        <f>IF(VLOOKUP($A178,'Pre-Assessment Estimator'!$A$10:$Z$226,R$2,FALSE)=0,"",VLOOKUP($A178,'Pre-Assessment Estimator'!$A$10:$Z$226,R$2,FALSE))</f>
        <v/>
      </c>
      <c r="S178" s="578" t="str">
        <f>IF(VLOOKUP($A178,'Pre-Assessment Estimator'!$A$10:$Z$226,S$2,FALSE)=0,"",VLOOKUP($A178,'Pre-Assessment Estimator'!$A$10:$Z$226,S$2,FALSE))</f>
        <v/>
      </c>
      <c r="T178" s="581"/>
      <c r="U178" s="580" t="str">
        <f>IF(VLOOKUP($A178,'Pre-Assessment Estimator'!$A$10:$Z$226,U$2,FALSE)=0,"",VLOOKUP($A178,'Pre-Assessment Estimator'!$A$10:$Z$226,U$2,FALSE))</f>
        <v/>
      </c>
      <c r="V178" s="575" t="str">
        <f>VLOOKUP($A178,'Pre-Assessment Estimator'!$A$10:$Z$226,V$2,FALSE)</f>
        <v>0 c. 0 %</v>
      </c>
      <c r="W178" s="574" t="str">
        <f>VLOOKUP($A178,'Pre-Assessment Estimator'!$A$10:$Z$226,W$2,FALSE)</f>
        <v>N/A</v>
      </c>
      <c r="X178" s="577" t="str">
        <f>IF(VLOOKUP($A178,'Pre-Assessment Estimator'!$A$10:$Z$226,X$2,FALSE)=0,"",VLOOKUP($A178,'Pre-Assessment Estimator'!$A$10:$Z$226,X$2,FALSE))</f>
        <v/>
      </c>
      <c r="Y178" s="577" t="str">
        <f>IF(VLOOKUP($A178,'Pre-Assessment Estimator'!$A$10:$Z$226,Y$2,FALSE)=0,"",VLOOKUP($A178,'Pre-Assessment Estimator'!$A$10:$Z$226,Y$2,FALSE))</f>
        <v/>
      </c>
      <c r="Z178" s="370" t="str">
        <f>IF(VLOOKUP($A178,'Pre-Assessment Estimator'!$A$10:$Z$226,Z$2,FALSE)=0,"",VLOOKUP($A178,'Pre-Assessment Estimator'!$A$10:$Z$226,Z$2,FALSE))</f>
        <v/>
      </c>
      <c r="AA178" s="696">
        <v>167</v>
      </c>
      <c r="AB178" s="577" t="str">
        <f>IF(VLOOKUP($A178,'Pre-Assessment Estimator'!$A$10:$AB$226,AB$2,FALSE)=0,"",VLOOKUP($A178,'Pre-Assessment Estimator'!$A$10:$AB$226,AB$2,FALSE))</f>
        <v/>
      </c>
      <c r="AF178" s="386">
        <f t="shared" si="3"/>
        <v>1</v>
      </c>
    </row>
    <row r="179" spans="1:32" ht="30" x14ac:dyDescent="0.25">
      <c r="A179" s="823">
        <v>170</v>
      </c>
      <c r="B179" s="1234" t="s">
        <v>70</v>
      </c>
      <c r="C179" s="1234"/>
      <c r="D179" s="1257" t="str">
        <f>VLOOKUP($A179,'Pre-Assessment Estimator'!$A$10:$Z$226,D$2,FALSE)</f>
        <v>LE 05</v>
      </c>
      <c r="E179" s="1258" t="str">
        <f>VLOOKUP($A179,'Pre-Assessment Estimator'!$A$10:$Z$226,E$2,FALSE)</f>
        <v>Pre-requisite: statutory obligations, planning and site implementation</v>
      </c>
      <c r="F179" s="574" t="str">
        <f>VLOOKUP($A179,'Pre-Assessment Estimator'!$A$10:$Z$226,F$2,FALSE)</f>
        <v>Yes/No</v>
      </c>
      <c r="G179" s="580" t="str">
        <f>IF(VLOOKUP($A179,'Pre-Assessment Estimator'!$A$10:$Z$226,G$2,FALSE)=0,"",VLOOKUP($A179,'Pre-Assessment Estimator'!$A$10:$Z$226,G$2,FALSE))</f>
        <v/>
      </c>
      <c r="H179" s="1220" t="str">
        <f>VLOOKUP($A179,'Pre-Assessment Estimator'!$A$10:$Z$226,H$2,FALSE)</f>
        <v>-</v>
      </c>
      <c r="I179" s="576" t="str">
        <f>VLOOKUP($A179,'Pre-Assessment Estimator'!$A$10:$Z$226,I$2,FALSE)</f>
        <v>N/A</v>
      </c>
      <c r="J179" s="577" t="str">
        <f>IF(VLOOKUP($A179,'Pre-Assessment Estimator'!$A$10:$Z$226,J$2,FALSE)=0,"",VLOOKUP($A179,'Pre-Assessment Estimator'!$A$10:$Z$226,J$2,FALSE))</f>
        <v/>
      </c>
      <c r="K179" s="577" t="str">
        <f>IF(VLOOKUP($A179,'Pre-Assessment Estimator'!$A$10:$Z$226,K$2,FALSE)=0,"",VLOOKUP($A179,'Pre-Assessment Estimator'!$A$10:$Z$226,K$2,FALSE))</f>
        <v/>
      </c>
      <c r="L179" s="578" t="str">
        <f>IF(VLOOKUP($A179,'Pre-Assessment Estimator'!$A$10:$Z$226,L$2,FALSE)=0,"",VLOOKUP($A179,'Pre-Assessment Estimator'!$A$10:$Z$226,L$2,FALSE))</f>
        <v/>
      </c>
      <c r="M179" s="579"/>
      <c r="N179" s="580" t="str">
        <f>IF(VLOOKUP($A179,'Pre-Assessment Estimator'!$A$10:$Z$226,N$2,FALSE)=0,"",VLOOKUP($A179,'Pre-Assessment Estimator'!$A$10:$Z$226,N$2,FALSE))</f>
        <v/>
      </c>
      <c r="O179" s="575" t="str">
        <f>VLOOKUP($A179,'Pre-Assessment Estimator'!$A$10:$Z$226,O$2,FALSE)</f>
        <v>-</v>
      </c>
      <c r="P179" s="574" t="str">
        <f>VLOOKUP($A179,'Pre-Assessment Estimator'!$A$10:$Z$226,P$2,FALSE)</f>
        <v>N/A</v>
      </c>
      <c r="Q179" s="577" t="str">
        <f>IF(VLOOKUP($A179,'Pre-Assessment Estimator'!$A$10:$Z$226,Q$2,FALSE)=0,"",VLOOKUP($A179,'Pre-Assessment Estimator'!$A$10:$Z$226,Q$2,FALSE))</f>
        <v/>
      </c>
      <c r="R179" s="577" t="str">
        <f>IF(VLOOKUP($A179,'Pre-Assessment Estimator'!$A$10:$Z$226,R$2,FALSE)=0,"",VLOOKUP($A179,'Pre-Assessment Estimator'!$A$10:$Z$226,R$2,FALSE))</f>
        <v/>
      </c>
      <c r="S179" s="578" t="str">
        <f>IF(VLOOKUP($A179,'Pre-Assessment Estimator'!$A$10:$Z$226,S$2,FALSE)=0,"",VLOOKUP($A179,'Pre-Assessment Estimator'!$A$10:$Z$226,S$2,FALSE))</f>
        <v/>
      </c>
      <c r="T179" s="581"/>
      <c r="U179" s="580" t="str">
        <f>IF(VLOOKUP($A179,'Pre-Assessment Estimator'!$A$10:$Z$226,U$2,FALSE)=0,"",VLOOKUP($A179,'Pre-Assessment Estimator'!$A$10:$Z$226,U$2,FALSE))</f>
        <v/>
      </c>
      <c r="V179" s="575" t="str">
        <f>VLOOKUP($A179,'Pre-Assessment Estimator'!$A$10:$Z$226,V$2,FALSE)</f>
        <v>-</v>
      </c>
      <c r="W179" s="574" t="str">
        <f>VLOOKUP($A179,'Pre-Assessment Estimator'!$A$10:$Z$226,W$2,FALSE)</f>
        <v>N/A</v>
      </c>
      <c r="X179" s="577" t="str">
        <f>IF(VLOOKUP($A179,'Pre-Assessment Estimator'!$A$10:$Z$226,X$2,FALSE)=0,"",VLOOKUP($A179,'Pre-Assessment Estimator'!$A$10:$Z$226,X$2,FALSE))</f>
        <v/>
      </c>
      <c r="Y179" s="577" t="str">
        <f>IF(VLOOKUP($A179,'Pre-Assessment Estimator'!$A$10:$Z$226,Y$2,FALSE)=0,"",VLOOKUP($A179,'Pre-Assessment Estimator'!$A$10:$Z$226,Y$2,FALSE))</f>
        <v/>
      </c>
      <c r="Z179" s="370" t="str">
        <f>IF(VLOOKUP($A179,'Pre-Assessment Estimator'!$A$10:$Z$226,Z$2,FALSE)=0,"",VLOOKUP($A179,'Pre-Assessment Estimator'!$A$10:$Z$226,Z$2,FALSE))</f>
        <v/>
      </c>
      <c r="AA179" s="696">
        <v>168</v>
      </c>
      <c r="AB179" s="577" t="str">
        <f>IF(VLOOKUP($A179,'Pre-Assessment Estimator'!$A$10:$AB$226,AB$2,FALSE)=0,"",VLOOKUP($A179,'Pre-Assessment Estimator'!$A$10:$AB$226,AB$2,FALSE))</f>
        <v/>
      </c>
      <c r="AF179" s="386">
        <f t="shared" si="3"/>
        <v>1</v>
      </c>
    </row>
    <row r="180" spans="1:32" x14ac:dyDescent="0.25">
      <c r="A180" s="823">
        <v>171</v>
      </c>
      <c r="B180" s="1234" t="s">
        <v>70</v>
      </c>
      <c r="C180" s="1234"/>
      <c r="D180" s="1257" t="str">
        <f>VLOOKUP($A180,'Pre-Assessment Estimator'!$A$10:$Z$226,D$2,FALSE)</f>
        <v>LE 05</v>
      </c>
      <c r="E180" s="1258" t="str">
        <f>VLOOKUP($A180,'Pre-Assessment Estimator'!$A$10:$Z$226,E$2,FALSE)</f>
        <v>Management and maintenance throughout the project</v>
      </c>
      <c r="F180" s="574">
        <f>VLOOKUP($A180,'Pre-Assessment Estimator'!$A$10:$Z$226,F$2,FALSE)</f>
        <v>1</v>
      </c>
      <c r="G180" s="580" t="str">
        <f>IF(VLOOKUP($A180,'Pre-Assessment Estimator'!$A$10:$Z$226,G$2,FALSE)=0,"",VLOOKUP($A180,'Pre-Assessment Estimator'!$A$10:$Z$226,G$2,FALSE))</f>
        <v/>
      </c>
      <c r="H180" s="1220">
        <f>VLOOKUP($A180,'Pre-Assessment Estimator'!$A$10:$Z$226,H$2,FALSE)</f>
        <v>0</v>
      </c>
      <c r="I180" s="576" t="str">
        <f>VLOOKUP($A180,'Pre-Assessment Estimator'!$A$10:$Z$226,I$2,FALSE)</f>
        <v>N/A</v>
      </c>
      <c r="J180" s="577" t="str">
        <f>IF(VLOOKUP($A180,'Pre-Assessment Estimator'!$A$10:$Z$226,J$2,FALSE)=0,"",VLOOKUP($A180,'Pre-Assessment Estimator'!$A$10:$Z$226,J$2,FALSE))</f>
        <v/>
      </c>
      <c r="K180" s="577" t="str">
        <f>IF(VLOOKUP($A180,'Pre-Assessment Estimator'!$A$10:$Z$226,K$2,FALSE)=0,"",VLOOKUP($A180,'Pre-Assessment Estimator'!$A$10:$Z$226,K$2,FALSE))</f>
        <v/>
      </c>
      <c r="L180" s="578" t="str">
        <f>IF(VLOOKUP($A180,'Pre-Assessment Estimator'!$A$10:$Z$226,L$2,FALSE)=0,"",VLOOKUP($A180,'Pre-Assessment Estimator'!$A$10:$Z$226,L$2,FALSE))</f>
        <v/>
      </c>
      <c r="M180" s="579"/>
      <c r="N180" s="580" t="str">
        <f>IF(VLOOKUP($A180,'Pre-Assessment Estimator'!$A$10:$Z$226,N$2,FALSE)=0,"",VLOOKUP($A180,'Pre-Assessment Estimator'!$A$10:$Z$226,N$2,FALSE))</f>
        <v/>
      </c>
      <c r="O180" s="575">
        <f>VLOOKUP($A180,'Pre-Assessment Estimator'!$A$10:$Z$226,O$2,FALSE)</f>
        <v>0</v>
      </c>
      <c r="P180" s="574" t="str">
        <f>VLOOKUP($A180,'Pre-Assessment Estimator'!$A$10:$Z$226,P$2,FALSE)</f>
        <v>N/A</v>
      </c>
      <c r="Q180" s="577" t="str">
        <f>IF(VLOOKUP($A180,'Pre-Assessment Estimator'!$A$10:$Z$226,Q$2,FALSE)=0,"",VLOOKUP($A180,'Pre-Assessment Estimator'!$A$10:$Z$226,Q$2,FALSE))</f>
        <v/>
      </c>
      <c r="R180" s="577" t="str">
        <f>IF(VLOOKUP($A180,'Pre-Assessment Estimator'!$A$10:$Z$226,R$2,FALSE)=0,"",VLOOKUP($A180,'Pre-Assessment Estimator'!$A$10:$Z$226,R$2,FALSE))</f>
        <v/>
      </c>
      <c r="S180" s="578" t="str">
        <f>IF(VLOOKUP($A180,'Pre-Assessment Estimator'!$A$10:$Z$226,S$2,FALSE)=0,"",VLOOKUP($A180,'Pre-Assessment Estimator'!$A$10:$Z$226,S$2,FALSE))</f>
        <v/>
      </c>
      <c r="T180" s="581"/>
      <c r="U180" s="580" t="str">
        <f>IF(VLOOKUP($A180,'Pre-Assessment Estimator'!$A$10:$Z$226,U$2,FALSE)=0,"",VLOOKUP($A180,'Pre-Assessment Estimator'!$A$10:$Z$226,U$2,FALSE))</f>
        <v/>
      </c>
      <c r="V180" s="575">
        <f>VLOOKUP($A180,'Pre-Assessment Estimator'!$A$10:$Z$226,V$2,FALSE)</f>
        <v>0</v>
      </c>
      <c r="W180" s="574" t="str">
        <f>VLOOKUP($A180,'Pre-Assessment Estimator'!$A$10:$Z$226,W$2,FALSE)</f>
        <v>N/A</v>
      </c>
      <c r="X180" s="577" t="str">
        <f>IF(VLOOKUP($A180,'Pre-Assessment Estimator'!$A$10:$Z$226,X$2,FALSE)=0,"",VLOOKUP($A180,'Pre-Assessment Estimator'!$A$10:$Z$226,X$2,FALSE))</f>
        <v/>
      </c>
      <c r="Y180" s="577" t="str">
        <f>IF(VLOOKUP($A180,'Pre-Assessment Estimator'!$A$10:$Z$226,Y$2,FALSE)=0,"",VLOOKUP($A180,'Pre-Assessment Estimator'!$A$10:$Z$226,Y$2,FALSE))</f>
        <v/>
      </c>
      <c r="Z180" s="370" t="str">
        <f>IF(VLOOKUP($A180,'Pre-Assessment Estimator'!$A$10:$Z$226,Z$2,FALSE)=0,"",VLOOKUP($A180,'Pre-Assessment Estimator'!$A$10:$Z$226,Z$2,FALSE))</f>
        <v/>
      </c>
      <c r="AA180" s="696">
        <v>169</v>
      </c>
      <c r="AB180" s="577"/>
      <c r="AF180" s="386">
        <f t="shared" si="3"/>
        <v>1</v>
      </c>
    </row>
    <row r="181" spans="1:32" x14ac:dyDescent="0.25">
      <c r="A181" s="823">
        <v>172</v>
      </c>
      <c r="B181" s="1234" t="s">
        <v>70</v>
      </c>
      <c r="C181" s="1234"/>
      <c r="D181" s="1257" t="str">
        <f>VLOOKUP($A181,'Pre-Assessment Estimator'!$A$10:$Z$226,D$2,FALSE)</f>
        <v>LE 05</v>
      </c>
      <c r="E181" s="1258" t="str">
        <f>VLOOKUP($A181,'Pre-Assessment Estimator'!$A$10:$Z$226,E$2,FALSE)</f>
        <v>Landscape and ecology management plan</v>
      </c>
      <c r="F181" s="574">
        <f>VLOOKUP($A181,'Pre-Assessment Estimator'!$A$10:$Z$226,F$2,FALSE)</f>
        <v>1</v>
      </c>
      <c r="G181" s="580" t="str">
        <f>IF(VLOOKUP($A181,'Pre-Assessment Estimator'!$A$10:$Z$226,G$2,FALSE)=0,"",VLOOKUP($A181,'Pre-Assessment Estimator'!$A$10:$Z$226,G$2,FALSE))</f>
        <v/>
      </c>
      <c r="H181" s="1220">
        <f>VLOOKUP($A181,'Pre-Assessment Estimator'!$A$10:$Z$226,H$2,FALSE)</f>
        <v>0</v>
      </c>
      <c r="I181" s="576" t="str">
        <f>VLOOKUP($A181,'Pre-Assessment Estimator'!$A$10:$Z$226,I$2,FALSE)</f>
        <v>N/A</v>
      </c>
      <c r="J181" s="577" t="str">
        <f>IF(VLOOKUP($A181,'Pre-Assessment Estimator'!$A$10:$Z$226,J$2,FALSE)=0,"",VLOOKUP($A181,'Pre-Assessment Estimator'!$A$10:$Z$226,J$2,FALSE))</f>
        <v/>
      </c>
      <c r="K181" s="577" t="str">
        <f>IF(VLOOKUP($A181,'Pre-Assessment Estimator'!$A$10:$Z$226,K$2,FALSE)=0,"",VLOOKUP($A181,'Pre-Assessment Estimator'!$A$10:$Z$226,K$2,FALSE))</f>
        <v/>
      </c>
      <c r="L181" s="578" t="str">
        <f>IF(VLOOKUP($A181,'Pre-Assessment Estimator'!$A$10:$Z$226,L$2,FALSE)=0,"",VLOOKUP($A181,'Pre-Assessment Estimator'!$A$10:$Z$226,L$2,FALSE))</f>
        <v/>
      </c>
      <c r="M181" s="579"/>
      <c r="N181" s="580" t="str">
        <f>IF(VLOOKUP($A181,'Pre-Assessment Estimator'!$A$10:$Z$226,N$2,FALSE)=0,"",VLOOKUP($A181,'Pre-Assessment Estimator'!$A$10:$Z$226,N$2,FALSE))</f>
        <v/>
      </c>
      <c r="O181" s="575">
        <f>VLOOKUP($A181,'Pre-Assessment Estimator'!$A$10:$Z$226,O$2,FALSE)</f>
        <v>0</v>
      </c>
      <c r="P181" s="574" t="str">
        <f>VLOOKUP($A181,'Pre-Assessment Estimator'!$A$10:$Z$226,P$2,FALSE)</f>
        <v>N/A</v>
      </c>
      <c r="Q181" s="577" t="str">
        <f>IF(VLOOKUP($A181,'Pre-Assessment Estimator'!$A$10:$Z$226,Q$2,FALSE)=0,"",VLOOKUP($A181,'Pre-Assessment Estimator'!$A$10:$Z$226,Q$2,FALSE))</f>
        <v/>
      </c>
      <c r="R181" s="577" t="str">
        <f>IF(VLOOKUP($A181,'Pre-Assessment Estimator'!$A$10:$Z$226,R$2,FALSE)=0,"",VLOOKUP($A181,'Pre-Assessment Estimator'!$A$10:$Z$226,R$2,FALSE))</f>
        <v/>
      </c>
      <c r="S181" s="578" t="str">
        <f>IF(VLOOKUP($A181,'Pre-Assessment Estimator'!$A$10:$Z$226,S$2,FALSE)=0,"",VLOOKUP($A181,'Pre-Assessment Estimator'!$A$10:$Z$226,S$2,FALSE))</f>
        <v/>
      </c>
      <c r="T181" s="581"/>
      <c r="U181" s="580" t="str">
        <f>IF(VLOOKUP($A181,'Pre-Assessment Estimator'!$A$10:$Z$226,U$2,FALSE)=0,"",VLOOKUP($A181,'Pre-Assessment Estimator'!$A$10:$Z$226,U$2,FALSE))</f>
        <v/>
      </c>
      <c r="V181" s="575">
        <f>VLOOKUP($A181,'Pre-Assessment Estimator'!$A$10:$Z$226,V$2,FALSE)</f>
        <v>0</v>
      </c>
      <c r="W181" s="574" t="str">
        <f>VLOOKUP($A181,'Pre-Assessment Estimator'!$A$10:$Z$226,W$2,FALSE)</f>
        <v>N/A</v>
      </c>
      <c r="X181" s="577" t="str">
        <f>IF(VLOOKUP($A181,'Pre-Assessment Estimator'!$A$10:$Z$226,X$2,FALSE)=0,"",VLOOKUP($A181,'Pre-Assessment Estimator'!$A$10:$Z$226,X$2,FALSE))</f>
        <v/>
      </c>
      <c r="Y181" s="577" t="str">
        <f>IF(VLOOKUP($A181,'Pre-Assessment Estimator'!$A$10:$Z$226,Y$2,FALSE)=0,"",VLOOKUP($A181,'Pre-Assessment Estimator'!$A$10:$Z$226,Y$2,FALSE))</f>
        <v/>
      </c>
      <c r="Z181" s="370" t="str">
        <f>IF(VLOOKUP($A181,'Pre-Assessment Estimator'!$A$10:$Z$226,Z$2,FALSE)=0,"",VLOOKUP($A181,'Pre-Assessment Estimator'!$A$10:$Z$226,Z$2,FALSE))</f>
        <v/>
      </c>
      <c r="AA181" s="696">
        <v>170</v>
      </c>
      <c r="AB181" s="577"/>
      <c r="AF181" s="386">
        <f t="shared" si="3"/>
        <v>1</v>
      </c>
    </row>
    <row r="182" spans="1:32" x14ac:dyDescent="0.25">
      <c r="A182" s="823">
        <v>173</v>
      </c>
      <c r="B182" s="1234" t="s">
        <v>70</v>
      </c>
      <c r="C182" s="1234"/>
      <c r="D182" s="1256" t="str">
        <f>VLOOKUP($A182,'Pre-Assessment Estimator'!$A$10:$Z$226,D$2,FALSE)</f>
        <v>LE 06</v>
      </c>
      <c r="E182" s="1256" t="str">
        <f>VLOOKUP($A182,'Pre-Assessment Estimator'!$A$10:$Z$226,E$2,FALSE)</f>
        <v>LE 06 Climate adaption</v>
      </c>
      <c r="F182" s="574">
        <f>VLOOKUP($A182,'Pre-Assessment Estimator'!$A$10:$Z$226,F$2,FALSE)</f>
        <v>1</v>
      </c>
      <c r="G182" s="580" t="str">
        <f>IF(VLOOKUP($A182,'Pre-Assessment Estimator'!$A$10:$Z$226,G$2,FALSE)=0,"",VLOOKUP($A182,'Pre-Assessment Estimator'!$A$10:$Z$226,G$2,FALSE))</f>
        <v/>
      </c>
      <c r="H182" s="1220" t="str">
        <f>VLOOKUP($A182,'Pre-Assessment Estimator'!$A$10:$Z$226,H$2,FALSE)</f>
        <v>0 c. 0 %</v>
      </c>
      <c r="I182" s="576" t="str">
        <f>VLOOKUP($A182,'Pre-Assessment Estimator'!$A$10:$Z$226,I$2,FALSE)</f>
        <v>N/A</v>
      </c>
      <c r="J182" s="577" t="str">
        <f>IF(VLOOKUP($A182,'Pre-Assessment Estimator'!$A$10:$Z$226,J$2,FALSE)=0,"",VLOOKUP($A182,'Pre-Assessment Estimator'!$A$10:$Z$226,J$2,FALSE))</f>
        <v/>
      </c>
      <c r="K182" s="577" t="str">
        <f>IF(VLOOKUP($A182,'Pre-Assessment Estimator'!$A$10:$Z$226,K$2,FALSE)=0,"",VLOOKUP($A182,'Pre-Assessment Estimator'!$A$10:$Z$226,K$2,FALSE))</f>
        <v/>
      </c>
      <c r="L182" s="578" t="str">
        <f>IF(VLOOKUP($A182,'Pre-Assessment Estimator'!$A$10:$Z$226,L$2,FALSE)=0,"",VLOOKUP($A182,'Pre-Assessment Estimator'!$A$10:$Z$226,L$2,FALSE))</f>
        <v/>
      </c>
      <c r="M182" s="579"/>
      <c r="N182" s="580" t="str">
        <f>IF(VLOOKUP($A182,'Pre-Assessment Estimator'!$A$10:$Z$226,N$2,FALSE)=0,"",VLOOKUP($A182,'Pre-Assessment Estimator'!$A$10:$Z$226,N$2,FALSE))</f>
        <v/>
      </c>
      <c r="O182" s="575" t="str">
        <f>VLOOKUP($A182,'Pre-Assessment Estimator'!$A$10:$Z$226,O$2,FALSE)</f>
        <v>0 c. 0 %</v>
      </c>
      <c r="P182" s="574" t="str">
        <f>VLOOKUP($A182,'Pre-Assessment Estimator'!$A$10:$Z$226,P$2,FALSE)</f>
        <v>N/A</v>
      </c>
      <c r="Q182" s="577" t="str">
        <f>IF(VLOOKUP($A182,'Pre-Assessment Estimator'!$A$10:$Z$226,Q$2,FALSE)=0,"",VLOOKUP($A182,'Pre-Assessment Estimator'!$A$10:$Z$226,Q$2,FALSE))</f>
        <v/>
      </c>
      <c r="R182" s="577" t="str">
        <f>IF(VLOOKUP($A182,'Pre-Assessment Estimator'!$A$10:$Z$226,R$2,FALSE)=0,"",VLOOKUP($A182,'Pre-Assessment Estimator'!$A$10:$Z$226,R$2,FALSE))</f>
        <v/>
      </c>
      <c r="S182" s="578" t="str">
        <f>IF(VLOOKUP($A182,'Pre-Assessment Estimator'!$A$10:$Z$226,S$2,FALSE)=0,"",VLOOKUP($A182,'Pre-Assessment Estimator'!$A$10:$Z$226,S$2,FALSE))</f>
        <v/>
      </c>
      <c r="T182" s="581"/>
      <c r="U182" s="580" t="str">
        <f>IF(VLOOKUP($A182,'Pre-Assessment Estimator'!$A$10:$Z$226,U$2,FALSE)=0,"",VLOOKUP($A182,'Pre-Assessment Estimator'!$A$10:$Z$226,U$2,FALSE))</f>
        <v/>
      </c>
      <c r="V182" s="575" t="str">
        <f>VLOOKUP($A182,'Pre-Assessment Estimator'!$A$10:$Z$226,V$2,FALSE)</f>
        <v>0 c. 0 %</v>
      </c>
      <c r="W182" s="574" t="str">
        <f>VLOOKUP($A182,'Pre-Assessment Estimator'!$A$10:$Z$226,W$2,FALSE)</f>
        <v>N/A</v>
      </c>
      <c r="X182" s="577" t="str">
        <f>IF(VLOOKUP($A182,'Pre-Assessment Estimator'!$A$10:$Z$226,X$2,FALSE)=0,"",VLOOKUP($A182,'Pre-Assessment Estimator'!$A$10:$Z$226,X$2,FALSE))</f>
        <v/>
      </c>
      <c r="Y182" s="577" t="str">
        <f>IF(VLOOKUP($A182,'Pre-Assessment Estimator'!$A$10:$Z$226,Y$2,FALSE)=0,"",VLOOKUP($A182,'Pre-Assessment Estimator'!$A$10:$Z$226,Y$2,FALSE))</f>
        <v/>
      </c>
      <c r="Z182" s="370" t="str">
        <f>IF(VLOOKUP($A182,'Pre-Assessment Estimator'!$A$10:$Z$226,Z$2,FALSE)=0,"",VLOOKUP($A182,'Pre-Assessment Estimator'!$A$10:$Z$226,Z$2,FALSE))</f>
        <v/>
      </c>
      <c r="AA182" s="696">
        <v>171</v>
      </c>
      <c r="AB182" s="577"/>
      <c r="AF182" s="386">
        <f t="shared" si="3"/>
        <v>1</v>
      </c>
    </row>
    <row r="183" spans="1:32" x14ac:dyDescent="0.25">
      <c r="A183" s="823">
        <v>174</v>
      </c>
      <c r="B183" s="1234" t="s">
        <v>70</v>
      </c>
      <c r="C183" s="1234"/>
      <c r="D183" s="1257" t="str">
        <f>VLOOKUP($A183,'Pre-Assessment Estimator'!$A$10:$Z$226,D$2,FALSE)</f>
        <v>LE 06</v>
      </c>
      <c r="E183" s="1258" t="str">
        <f>VLOOKUP($A183,'Pre-Assessment Estimator'!$A$10:$Z$226,E$2,FALSE)</f>
        <v>Risk assessment (EU taxonomy requirement: criterion 1-6)</v>
      </c>
      <c r="F183" s="574">
        <f>VLOOKUP($A183,'Pre-Assessment Estimator'!$A$10:$Z$226,F$2,FALSE)</f>
        <v>1</v>
      </c>
      <c r="G183" s="580" t="str">
        <f>IF(VLOOKUP($A183,'Pre-Assessment Estimator'!$A$10:$Z$226,G$2,FALSE)=0,"",VLOOKUP($A183,'Pre-Assessment Estimator'!$A$10:$Z$226,G$2,FALSE))</f>
        <v/>
      </c>
      <c r="H183" s="1220">
        <f>VLOOKUP($A183,'Pre-Assessment Estimator'!$A$10:$Z$226,H$2,FALSE)</f>
        <v>0</v>
      </c>
      <c r="I183" s="576" t="str">
        <f>VLOOKUP($A183,'Pre-Assessment Estimator'!$A$10:$Z$226,I$2,FALSE)</f>
        <v>Very Good</v>
      </c>
      <c r="J183" s="577" t="str">
        <f>IF(VLOOKUP($A183,'Pre-Assessment Estimator'!$A$10:$Z$226,J$2,FALSE)=0,"",VLOOKUP($A183,'Pre-Assessment Estimator'!$A$10:$Z$226,J$2,FALSE))</f>
        <v/>
      </c>
      <c r="K183" s="577" t="str">
        <f>IF(VLOOKUP($A183,'Pre-Assessment Estimator'!$A$10:$Z$226,K$2,FALSE)=0,"",VLOOKUP($A183,'Pre-Assessment Estimator'!$A$10:$Z$226,K$2,FALSE))</f>
        <v/>
      </c>
      <c r="L183" s="578" t="str">
        <f>IF(VLOOKUP($A183,'Pre-Assessment Estimator'!$A$10:$Z$226,L$2,FALSE)=0,"",VLOOKUP($A183,'Pre-Assessment Estimator'!$A$10:$Z$226,L$2,FALSE))</f>
        <v/>
      </c>
      <c r="M183" s="579"/>
      <c r="N183" s="580" t="str">
        <f>IF(VLOOKUP($A183,'Pre-Assessment Estimator'!$A$10:$Z$226,N$2,FALSE)=0,"",VLOOKUP($A183,'Pre-Assessment Estimator'!$A$10:$Z$226,N$2,FALSE))</f>
        <v/>
      </c>
      <c r="O183" s="575">
        <f>VLOOKUP($A183,'Pre-Assessment Estimator'!$A$10:$Z$226,O$2,FALSE)</f>
        <v>0</v>
      </c>
      <c r="P183" s="574" t="str">
        <f>VLOOKUP($A183,'Pre-Assessment Estimator'!$A$10:$Z$226,P$2,FALSE)</f>
        <v>Very Good</v>
      </c>
      <c r="Q183" s="577" t="str">
        <f>IF(VLOOKUP($A183,'Pre-Assessment Estimator'!$A$10:$Z$226,Q$2,FALSE)=0,"",VLOOKUP($A183,'Pre-Assessment Estimator'!$A$10:$Z$226,Q$2,FALSE))</f>
        <v/>
      </c>
      <c r="R183" s="577" t="str">
        <f>IF(VLOOKUP($A183,'Pre-Assessment Estimator'!$A$10:$Z$226,R$2,FALSE)=0,"",VLOOKUP($A183,'Pre-Assessment Estimator'!$A$10:$Z$226,R$2,FALSE))</f>
        <v/>
      </c>
      <c r="S183" s="578" t="str">
        <f>IF(VLOOKUP($A183,'Pre-Assessment Estimator'!$A$10:$Z$226,S$2,FALSE)=0,"",VLOOKUP($A183,'Pre-Assessment Estimator'!$A$10:$Z$226,S$2,FALSE))</f>
        <v/>
      </c>
      <c r="T183" s="581"/>
      <c r="U183" s="580" t="str">
        <f>IF(VLOOKUP($A183,'Pre-Assessment Estimator'!$A$10:$Z$226,U$2,FALSE)=0,"",VLOOKUP($A183,'Pre-Assessment Estimator'!$A$10:$Z$226,U$2,FALSE))</f>
        <v/>
      </c>
      <c r="V183" s="575">
        <f>VLOOKUP($A183,'Pre-Assessment Estimator'!$A$10:$Z$226,V$2,FALSE)</f>
        <v>0</v>
      </c>
      <c r="W183" s="574" t="str">
        <f>VLOOKUP($A183,'Pre-Assessment Estimator'!$A$10:$Z$226,W$2,FALSE)</f>
        <v>Very Good</v>
      </c>
      <c r="X183" s="577" t="str">
        <f>IF(VLOOKUP($A183,'Pre-Assessment Estimator'!$A$10:$Z$226,X$2,FALSE)=0,"",VLOOKUP($A183,'Pre-Assessment Estimator'!$A$10:$Z$226,X$2,FALSE))</f>
        <v/>
      </c>
      <c r="Y183" s="577" t="str">
        <f>IF(VLOOKUP($A183,'Pre-Assessment Estimator'!$A$10:$Z$226,Y$2,FALSE)=0,"",VLOOKUP($A183,'Pre-Assessment Estimator'!$A$10:$Z$226,Y$2,FALSE))</f>
        <v/>
      </c>
      <c r="Z183" s="370" t="str">
        <f>IF(VLOOKUP($A183,'Pre-Assessment Estimator'!$A$10:$Z$226,Z$2,FALSE)=0,"",VLOOKUP($A183,'Pre-Assessment Estimator'!$A$10:$Z$226,Z$2,FALSE))</f>
        <v/>
      </c>
      <c r="AA183" s="696">
        <v>172</v>
      </c>
      <c r="AB183" s="577"/>
      <c r="AF183" s="386">
        <f t="shared" si="3"/>
        <v>1</v>
      </c>
    </row>
    <row r="184" spans="1:32" x14ac:dyDescent="0.25">
      <c r="A184" s="823">
        <v>175</v>
      </c>
      <c r="B184" s="1234" t="s">
        <v>70</v>
      </c>
      <c r="C184" s="1234"/>
      <c r="D184" s="1256" t="str">
        <f>VLOOKUP($A184,'Pre-Assessment Estimator'!$A$10:$Z$226,D$2,FALSE)</f>
        <v>LE 07</v>
      </c>
      <c r="E184" s="1256" t="str">
        <f>VLOOKUP($A184,'Pre-Assessment Estimator'!$A$10:$Z$226,E$2,FALSE)</f>
        <v>LE 07 Flooding and storm surge</v>
      </c>
      <c r="F184" s="574">
        <f>VLOOKUP($A184,'Pre-Assessment Estimator'!$A$10:$Z$226,F$2,FALSE)</f>
        <v>2</v>
      </c>
      <c r="G184" s="580" t="str">
        <f>IF(VLOOKUP($A184,'Pre-Assessment Estimator'!$A$10:$Z$226,G$2,FALSE)=0,"",VLOOKUP($A184,'Pre-Assessment Estimator'!$A$10:$Z$226,G$2,FALSE))</f>
        <v/>
      </c>
      <c r="H184" s="1220" t="str">
        <f>VLOOKUP($A184,'Pre-Assessment Estimator'!$A$10:$Z$226,H$2,FALSE)</f>
        <v>0 c. 0 %</v>
      </c>
      <c r="I184" s="576" t="str">
        <f>VLOOKUP($A184,'Pre-Assessment Estimator'!$A$10:$Z$226,I$2,FALSE)</f>
        <v>N/A</v>
      </c>
      <c r="J184" s="577" t="str">
        <f>IF(VLOOKUP($A184,'Pre-Assessment Estimator'!$A$10:$Z$226,J$2,FALSE)=0,"",VLOOKUP($A184,'Pre-Assessment Estimator'!$A$10:$Z$226,J$2,FALSE))</f>
        <v/>
      </c>
      <c r="K184" s="577" t="str">
        <f>IF(VLOOKUP($A184,'Pre-Assessment Estimator'!$A$10:$Z$226,K$2,FALSE)=0,"",VLOOKUP($A184,'Pre-Assessment Estimator'!$A$10:$Z$226,K$2,FALSE))</f>
        <v/>
      </c>
      <c r="L184" s="578" t="str">
        <f>IF(VLOOKUP($A184,'Pre-Assessment Estimator'!$A$10:$Z$226,L$2,FALSE)=0,"",VLOOKUP($A184,'Pre-Assessment Estimator'!$A$10:$Z$226,L$2,FALSE))</f>
        <v/>
      </c>
      <c r="M184" s="579"/>
      <c r="N184" s="580" t="str">
        <f>IF(VLOOKUP($A184,'Pre-Assessment Estimator'!$A$10:$Z$226,N$2,FALSE)=0,"",VLOOKUP($A184,'Pre-Assessment Estimator'!$A$10:$Z$226,N$2,FALSE))</f>
        <v/>
      </c>
      <c r="O184" s="575" t="str">
        <f>VLOOKUP($A184,'Pre-Assessment Estimator'!$A$10:$Z$226,O$2,FALSE)</f>
        <v>0 c. 0 %</v>
      </c>
      <c r="P184" s="574" t="str">
        <f>VLOOKUP($A184,'Pre-Assessment Estimator'!$A$10:$Z$226,P$2,FALSE)</f>
        <v>N/A</v>
      </c>
      <c r="Q184" s="577" t="str">
        <f>IF(VLOOKUP($A184,'Pre-Assessment Estimator'!$A$10:$Z$226,Q$2,FALSE)=0,"",VLOOKUP($A184,'Pre-Assessment Estimator'!$A$10:$Z$226,Q$2,FALSE))</f>
        <v/>
      </c>
      <c r="R184" s="577" t="str">
        <f>IF(VLOOKUP($A184,'Pre-Assessment Estimator'!$A$10:$Z$226,R$2,FALSE)=0,"",VLOOKUP($A184,'Pre-Assessment Estimator'!$A$10:$Z$226,R$2,FALSE))</f>
        <v/>
      </c>
      <c r="S184" s="578" t="str">
        <f>IF(VLOOKUP($A184,'Pre-Assessment Estimator'!$A$10:$Z$226,S$2,FALSE)=0,"",VLOOKUP($A184,'Pre-Assessment Estimator'!$A$10:$Z$226,S$2,FALSE))</f>
        <v/>
      </c>
      <c r="T184" s="581"/>
      <c r="U184" s="580" t="str">
        <f>IF(VLOOKUP($A184,'Pre-Assessment Estimator'!$A$10:$Z$226,U$2,FALSE)=0,"",VLOOKUP($A184,'Pre-Assessment Estimator'!$A$10:$Z$226,U$2,FALSE))</f>
        <v/>
      </c>
      <c r="V184" s="575" t="str">
        <f>VLOOKUP($A184,'Pre-Assessment Estimator'!$A$10:$Z$226,V$2,FALSE)</f>
        <v>0 c. 0 %</v>
      </c>
      <c r="W184" s="574" t="str">
        <f>VLOOKUP($A184,'Pre-Assessment Estimator'!$A$10:$Z$226,W$2,FALSE)</f>
        <v>N/A</v>
      </c>
      <c r="X184" s="577" t="str">
        <f>IF(VLOOKUP($A184,'Pre-Assessment Estimator'!$A$10:$Z$226,X$2,FALSE)=0,"",VLOOKUP($A184,'Pre-Assessment Estimator'!$A$10:$Z$226,X$2,FALSE))</f>
        <v/>
      </c>
      <c r="Y184" s="577" t="str">
        <f>IF(VLOOKUP($A184,'Pre-Assessment Estimator'!$A$10:$Z$226,Y$2,FALSE)=0,"",VLOOKUP($A184,'Pre-Assessment Estimator'!$A$10:$Z$226,Y$2,FALSE))</f>
        <v/>
      </c>
      <c r="Z184" s="370" t="str">
        <f>IF(VLOOKUP($A184,'Pre-Assessment Estimator'!$A$10:$Z$226,Z$2,FALSE)=0,"",VLOOKUP($A184,'Pre-Assessment Estimator'!$A$10:$Z$226,Z$2,FALSE))</f>
        <v/>
      </c>
      <c r="AA184" s="696">
        <v>173</v>
      </c>
      <c r="AB184" s="577"/>
      <c r="AF184" s="386">
        <f t="shared" si="3"/>
        <v>1</v>
      </c>
    </row>
    <row r="185" spans="1:32" x14ac:dyDescent="0.25">
      <c r="A185" s="823">
        <v>176</v>
      </c>
      <c r="B185" s="1234" t="s">
        <v>70</v>
      </c>
      <c r="C185" s="1234"/>
      <c r="D185" s="1257" t="str">
        <f>VLOOKUP($A185,'Pre-Assessment Estimator'!$A$10:$Z$226,D$2,FALSE)</f>
        <v>LE 07</v>
      </c>
      <c r="E185" s="1258" t="str">
        <f>VLOOKUP($A185,'Pre-Assessment Estimator'!$A$10:$Z$226,E$2,FALSE)</f>
        <v>Pre-requisite: flood risk assessment</v>
      </c>
      <c r="F185" s="574" t="str">
        <f>VLOOKUP($A185,'Pre-Assessment Estimator'!$A$10:$Z$226,F$2,FALSE)</f>
        <v>Yes/No</v>
      </c>
      <c r="G185" s="580" t="str">
        <f>IF(VLOOKUP($A185,'Pre-Assessment Estimator'!$A$10:$Z$226,G$2,FALSE)=0,"",VLOOKUP($A185,'Pre-Assessment Estimator'!$A$10:$Z$226,G$2,FALSE))</f>
        <v/>
      </c>
      <c r="H185" s="1220" t="str">
        <f>VLOOKUP($A185,'Pre-Assessment Estimator'!$A$10:$Z$226,H$2,FALSE)</f>
        <v>-</v>
      </c>
      <c r="I185" s="576" t="str">
        <f>VLOOKUP($A185,'Pre-Assessment Estimator'!$A$10:$Z$226,I$2,FALSE)</f>
        <v>N/A</v>
      </c>
      <c r="J185" s="577" t="str">
        <f>IF(VLOOKUP($A185,'Pre-Assessment Estimator'!$A$10:$Z$226,J$2,FALSE)=0,"",VLOOKUP($A185,'Pre-Assessment Estimator'!$A$10:$Z$226,J$2,FALSE))</f>
        <v/>
      </c>
      <c r="K185" s="577" t="str">
        <f>IF(VLOOKUP($A185,'Pre-Assessment Estimator'!$A$10:$Z$226,K$2,FALSE)=0,"",VLOOKUP($A185,'Pre-Assessment Estimator'!$A$10:$Z$226,K$2,FALSE))</f>
        <v/>
      </c>
      <c r="L185" s="578" t="str">
        <f>IF(VLOOKUP($A185,'Pre-Assessment Estimator'!$A$10:$Z$226,L$2,FALSE)=0,"",VLOOKUP($A185,'Pre-Assessment Estimator'!$A$10:$Z$226,L$2,FALSE))</f>
        <v/>
      </c>
      <c r="M185" s="579"/>
      <c r="N185" s="580" t="str">
        <f>IF(VLOOKUP($A185,'Pre-Assessment Estimator'!$A$10:$Z$226,N$2,FALSE)=0,"",VLOOKUP($A185,'Pre-Assessment Estimator'!$A$10:$Z$226,N$2,FALSE))</f>
        <v/>
      </c>
      <c r="O185" s="575" t="str">
        <f>VLOOKUP($A185,'Pre-Assessment Estimator'!$A$10:$Z$226,O$2,FALSE)</f>
        <v>-</v>
      </c>
      <c r="P185" s="574" t="str">
        <f>VLOOKUP($A185,'Pre-Assessment Estimator'!$A$10:$Z$226,P$2,FALSE)</f>
        <v>N/A</v>
      </c>
      <c r="Q185" s="577" t="str">
        <f>IF(VLOOKUP($A185,'Pre-Assessment Estimator'!$A$10:$Z$226,Q$2,FALSE)=0,"",VLOOKUP($A185,'Pre-Assessment Estimator'!$A$10:$Z$226,Q$2,FALSE))</f>
        <v/>
      </c>
      <c r="R185" s="577" t="str">
        <f>IF(VLOOKUP($A185,'Pre-Assessment Estimator'!$A$10:$Z$226,R$2,FALSE)=0,"",VLOOKUP($A185,'Pre-Assessment Estimator'!$A$10:$Z$226,R$2,FALSE))</f>
        <v/>
      </c>
      <c r="S185" s="578" t="str">
        <f>IF(VLOOKUP($A185,'Pre-Assessment Estimator'!$A$10:$Z$226,S$2,FALSE)=0,"",VLOOKUP($A185,'Pre-Assessment Estimator'!$A$10:$Z$226,S$2,FALSE))</f>
        <v/>
      </c>
      <c r="T185" s="581"/>
      <c r="U185" s="580" t="str">
        <f>IF(VLOOKUP($A185,'Pre-Assessment Estimator'!$A$10:$Z$226,U$2,FALSE)=0,"",VLOOKUP($A185,'Pre-Assessment Estimator'!$A$10:$Z$226,U$2,FALSE))</f>
        <v/>
      </c>
      <c r="V185" s="575" t="str">
        <f>VLOOKUP($A185,'Pre-Assessment Estimator'!$A$10:$Z$226,V$2,FALSE)</f>
        <v>-</v>
      </c>
      <c r="W185" s="574" t="str">
        <f>VLOOKUP($A185,'Pre-Assessment Estimator'!$A$10:$Z$226,W$2,FALSE)</f>
        <v>N/A</v>
      </c>
      <c r="X185" s="577" t="str">
        <f>IF(VLOOKUP($A185,'Pre-Assessment Estimator'!$A$10:$Z$226,X$2,FALSE)=0,"",VLOOKUP($A185,'Pre-Assessment Estimator'!$A$10:$Z$226,X$2,FALSE))</f>
        <v/>
      </c>
      <c r="Y185" s="577" t="str">
        <f>IF(VLOOKUP($A185,'Pre-Assessment Estimator'!$A$10:$Z$226,Y$2,FALSE)=0,"",VLOOKUP($A185,'Pre-Assessment Estimator'!$A$10:$Z$226,Y$2,FALSE))</f>
        <v/>
      </c>
      <c r="Z185" s="370" t="str">
        <f>IF(VLOOKUP($A185,'Pre-Assessment Estimator'!$A$10:$Z$226,Z$2,FALSE)=0,"",VLOOKUP($A185,'Pre-Assessment Estimator'!$A$10:$Z$226,Z$2,FALSE))</f>
        <v/>
      </c>
      <c r="AA185" s="696">
        <v>174</v>
      </c>
      <c r="AB185" s="577"/>
      <c r="AF185" s="386">
        <f t="shared" si="3"/>
        <v>1</v>
      </c>
    </row>
    <row r="186" spans="1:32" x14ac:dyDescent="0.25">
      <c r="A186" s="823">
        <v>177</v>
      </c>
      <c r="B186" s="1234" t="s">
        <v>70</v>
      </c>
      <c r="C186" s="1234"/>
      <c r="D186" s="1257" t="str">
        <f>VLOOKUP($A186,'Pre-Assessment Estimator'!$A$10:$Z$226,D$2,FALSE)</f>
        <v>LE 07</v>
      </c>
      <c r="E186" s="1258" t="str">
        <f>VLOOKUP($A186,'Pre-Assessment Estimator'!$A$10:$Z$226,E$2,FALSE)</f>
        <v>Resilience against flood and storm surge</v>
      </c>
      <c r="F186" s="574">
        <f>VLOOKUP($A186,'Pre-Assessment Estimator'!$A$10:$Z$226,F$2,FALSE)</f>
        <v>2</v>
      </c>
      <c r="G186" s="580" t="str">
        <f>IF(VLOOKUP($A186,'Pre-Assessment Estimator'!$A$10:$Z$226,G$2,FALSE)=0,"",VLOOKUP($A186,'Pre-Assessment Estimator'!$A$10:$Z$226,G$2,FALSE))</f>
        <v/>
      </c>
      <c r="H186" s="1220">
        <f>VLOOKUP($A186,'Pre-Assessment Estimator'!$A$10:$Z$226,H$2,FALSE)</f>
        <v>0</v>
      </c>
      <c r="I186" s="576" t="str">
        <f>VLOOKUP($A186,'Pre-Assessment Estimator'!$A$10:$Z$226,I$2,FALSE)</f>
        <v>N/A</v>
      </c>
      <c r="J186" s="577" t="str">
        <f>IF(VLOOKUP($A186,'Pre-Assessment Estimator'!$A$10:$Z$226,J$2,FALSE)=0,"",VLOOKUP($A186,'Pre-Assessment Estimator'!$A$10:$Z$226,J$2,FALSE))</f>
        <v/>
      </c>
      <c r="K186" s="577" t="str">
        <f>IF(VLOOKUP($A186,'Pre-Assessment Estimator'!$A$10:$Z$226,K$2,FALSE)=0,"",VLOOKUP($A186,'Pre-Assessment Estimator'!$A$10:$Z$226,K$2,FALSE))</f>
        <v/>
      </c>
      <c r="L186" s="578" t="str">
        <f>IF(VLOOKUP($A186,'Pre-Assessment Estimator'!$A$10:$Z$226,L$2,FALSE)=0,"",VLOOKUP($A186,'Pre-Assessment Estimator'!$A$10:$Z$226,L$2,FALSE))</f>
        <v/>
      </c>
      <c r="M186" s="579"/>
      <c r="N186" s="580" t="str">
        <f>IF(VLOOKUP($A186,'Pre-Assessment Estimator'!$A$10:$Z$226,N$2,FALSE)=0,"",VLOOKUP($A186,'Pre-Assessment Estimator'!$A$10:$Z$226,N$2,FALSE))</f>
        <v/>
      </c>
      <c r="O186" s="575">
        <f>VLOOKUP($A186,'Pre-Assessment Estimator'!$A$10:$Z$226,O$2,FALSE)</f>
        <v>0</v>
      </c>
      <c r="P186" s="574" t="str">
        <f>VLOOKUP($A186,'Pre-Assessment Estimator'!$A$10:$Z$226,P$2,FALSE)</f>
        <v>N/A</v>
      </c>
      <c r="Q186" s="577" t="str">
        <f>IF(VLOOKUP($A186,'Pre-Assessment Estimator'!$A$10:$Z$226,Q$2,FALSE)=0,"",VLOOKUP($A186,'Pre-Assessment Estimator'!$A$10:$Z$226,Q$2,FALSE))</f>
        <v/>
      </c>
      <c r="R186" s="577" t="str">
        <f>IF(VLOOKUP($A186,'Pre-Assessment Estimator'!$A$10:$Z$226,R$2,FALSE)=0,"",VLOOKUP($A186,'Pre-Assessment Estimator'!$A$10:$Z$226,R$2,FALSE))</f>
        <v/>
      </c>
      <c r="S186" s="578" t="str">
        <f>IF(VLOOKUP($A186,'Pre-Assessment Estimator'!$A$10:$Z$226,S$2,FALSE)=0,"",VLOOKUP($A186,'Pre-Assessment Estimator'!$A$10:$Z$226,S$2,FALSE))</f>
        <v/>
      </c>
      <c r="T186" s="581"/>
      <c r="U186" s="580" t="str">
        <f>IF(VLOOKUP($A186,'Pre-Assessment Estimator'!$A$10:$Z$226,U$2,FALSE)=0,"",VLOOKUP($A186,'Pre-Assessment Estimator'!$A$10:$Z$226,U$2,FALSE))</f>
        <v/>
      </c>
      <c r="V186" s="575">
        <f>VLOOKUP($A186,'Pre-Assessment Estimator'!$A$10:$Z$226,V$2,FALSE)</f>
        <v>0</v>
      </c>
      <c r="W186" s="574" t="str">
        <f>VLOOKUP($A186,'Pre-Assessment Estimator'!$A$10:$Z$226,W$2,FALSE)</f>
        <v>N/A</v>
      </c>
      <c r="X186" s="577" t="str">
        <f>IF(VLOOKUP($A186,'Pre-Assessment Estimator'!$A$10:$Z$226,X$2,FALSE)=0,"",VLOOKUP($A186,'Pre-Assessment Estimator'!$A$10:$Z$226,X$2,FALSE))</f>
        <v/>
      </c>
      <c r="Y186" s="577" t="str">
        <f>IF(VLOOKUP($A186,'Pre-Assessment Estimator'!$A$10:$Z$226,Y$2,FALSE)=0,"",VLOOKUP($A186,'Pre-Assessment Estimator'!$A$10:$Z$226,Y$2,FALSE))</f>
        <v/>
      </c>
      <c r="Z186" s="370" t="str">
        <f>IF(VLOOKUP($A186,'Pre-Assessment Estimator'!$A$10:$Z$226,Z$2,FALSE)=0,"",VLOOKUP($A186,'Pre-Assessment Estimator'!$A$10:$Z$226,Z$2,FALSE))</f>
        <v/>
      </c>
      <c r="AA186" s="696">
        <v>175</v>
      </c>
      <c r="AB186" s="577"/>
      <c r="AF186" s="386">
        <f t="shared" si="3"/>
        <v>1</v>
      </c>
    </row>
    <row r="187" spans="1:32" x14ac:dyDescent="0.25">
      <c r="A187" s="823">
        <v>178</v>
      </c>
      <c r="B187" s="1234" t="s">
        <v>70</v>
      </c>
      <c r="C187" s="1234"/>
      <c r="D187" s="1256" t="str">
        <f>VLOOKUP($A187,'Pre-Assessment Estimator'!$A$10:$Z$226,D$2,FALSE)</f>
        <v>LE 08</v>
      </c>
      <c r="E187" s="1256" t="str">
        <f>VLOOKUP($A187,'Pre-Assessment Estimator'!$A$10:$Z$226,E$2,FALSE)</f>
        <v>LE 08 Local surface water handling</v>
      </c>
      <c r="F187" s="574">
        <f>VLOOKUP($A187,'Pre-Assessment Estimator'!$A$10:$Z$226,F$2,FALSE)</f>
        <v>3</v>
      </c>
      <c r="G187" s="580" t="str">
        <f>IF(VLOOKUP($A187,'Pre-Assessment Estimator'!$A$10:$Z$226,G$2,FALSE)=0,"",VLOOKUP($A187,'Pre-Assessment Estimator'!$A$10:$Z$226,G$2,FALSE))</f>
        <v/>
      </c>
      <c r="H187" s="1220" t="str">
        <f>VLOOKUP($A187,'Pre-Assessment Estimator'!$A$10:$Z$226,H$2,FALSE)</f>
        <v>0 c. 0 %</v>
      </c>
      <c r="I187" s="576" t="str">
        <f>VLOOKUP($A187,'Pre-Assessment Estimator'!$A$10:$Z$226,I$2,FALSE)</f>
        <v>N/A</v>
      </c>
      <c r="J187" s="577" t="str">
        <f>IF(VLOOKUP($A187,'Pre-Assessment Estimator'!$A$10:$Z$226,J$2,FALSE)=0,"",VLOOKUP($A187,'Pre-Assessment Estimator'!$A$10:$Z$226,J$2,FALSE))</f>
        <v/>
      </c>
      <c r="K187" s="577" t="str">
        <f>IF(VLOOKUP($A187,'Pre-Assessment Estimator'!$A$10:$Z$226,K$2,FALSE)=0,"",VLOOKUP($A187,'Pre-Assessment Estimator'!$A$10:$Z$226,K$2,FALSE))</f>
        <v/>
      </c>
      <c r="L187" s="578" t="str">
        <f>IF(VLOOKUP($A187,'Pre-Assessment Estimator'!$A$10:$Z$226,L$2,FALSE)=0,"",VLOOKUP($A187,'Pre-Assessment Estimator'!$A$10:$Z$226,L$2,FALSE))</f>
        <v/>
      </c>
      <c r="M187" s="579"/>
      <c r="N187" s="580" t="str">
        <f>IF(VLOOKUP($A187,'Pre-Assessment Estimator'!$A$10:$Z$226,N$2,FALSE)=0,"",VLOOKUP($A187,'Pre-Assessment Estimator'!$A$10:$Z$226,N$2,FALSE))</f>
        <v/>
      </c>
      <c r="O187" s="575" t="str">
        <f>VLOOKUP($A187,'Pre-Assessment Estimator'!$A$10:$Z$226,O$2,FALSE)</f>
        <v>0 c. 0 %</v>
      </c>
      <c r="P187" s="574" t="str">
        <f>VLOOKUP($A187,'Pre-Assessment Estimator'!$A$10:$Z$226,P$2,FALSE)</f>
        <v>N/A</v>
      </c>
      <c r="Q187" s="577" t="str">
        <f>IF(VLOOKUP($A187,'Pre-Assessment Estimator'!$A$10:$Z$226,Q$2,FALSE)=0,"",VLOOKUP($A187,'Pre-Assessment Estimator'!$A$10:$Z$226,Q$2,FALSE))</f>
        <v/>
      </c>
      <c r="R187" s="577" t="str">
        <f>IF(VLOOKUP($A187,'Pre-Assessment Estimator'!$A$10:$Z$226,R$2,FALSE)=0,"",VLOOKUP($A187,'Pre-Assessment Estimator'!$A$10:$Z$226,R$2,FALSE))</f>
        <v/>
      </c>
      <c r="S187" s="578" t="str">
        <f>IF(VLOOKUP($A187,'Pre-Assessment Estimator'!$A$10:$Z$226,S$2,FALSE)=0,"",VLOOKUP($A187,'Pre-Assessment Estimator'!$A$10:$Z$226,S$2,FALSE))</f>
        <v/>
      </c>
      <c r="T187" s="581"/>
      <c r="U187" s="580" t="str">
        <f>IF(VLOOKUP($A187,'Pre-Assessment Estimator'!$A$10:$Z$226,U$2,FALSE)=0,"",VLOOKUP($A187,'Pre-Assessment Estimator'!$A$10:$Z$226,U$2,FALSE))</f>
        <v/>
      </c>
      <c r="V187" s="575" t="str">
        <f>VLOOKUP($A187,'Pre-Assessment Estimator'!$A$10:$Z$226,V$2,FALSE)</f>
        <v>0 c. 0 %</v>
      </c>
      <c r="W187" s="574" t="str">
        <f>VLOOKUP($A187,'Pre-Assessment Estimator'!$A$10:$Z$226,W$2,FALSE)</f>
        <v>N/A</v>
      </c>
      <c r="X187" s="577" t="str">
        <f>IF(VLOOKUP($A187,'Pre-Assessment Estimator'!$A$10:$Z$226,X$2,FALSE)=0,"",VLOOKUP($A187,'Pre-Assessment Estimator'!$A$10:$Z$226,X$2,FALSE))</f>
        <v/>
      </c>
      <c r="Y187" s="577" t="str">
        <f>IF(VLOOKUP($A187,'Pre-Assessment Estimator'!$A$10:$Z$226,Y$2,FALSE)=0,"",VLOOKUP($A187,'Pre-Assessment Estimator'!$A$10:$Z$226,Y$2,FALSE))</f>
        <v/>
      </c>
      <c r="Z187" s="370" t="str">
        <f>IF(VLOOKUP($A187,'Pre-Assessment Estimator'!$A$10:$Z$226,Z$2,FALSE)=0,"",VLOOKUP($A187,'Pre-Assessment Estimator'!$A$10:$Z$226,Z$2,FALSE))</f>
        <v/>
      </c>
      <c r="AA187" s="696">
        <v>176</v>
      </c>
      <c r="AB187" s="577"/>
      <c r="AF187" s="386">
        <f t="shared" si="3"/>
        <v>1</v>
      </c>
    </row>
    <row r="188" spans="1:32" x14ac:dyDescent="0.25">
      <c r="A188" s="823">
        <v>179</v>
      </c>
      <c r="B188" s="1234" t="s">
        <v>70</v>
      </c>
      <c r="C188" s="1234"/>
      <c r="D188" s="1257" t="str">
        <f>VLOOKUP($A188,'Pre-Assessment Estimator'!$A$10:$Z$226,D$2,FALSE)</f>
        <v>LE 08</v>
      </c>
      <c r="E188" s="1258" t="str">
        <f>VLOOKUP($A188,'Pre-Assessment Estimator'!$A$10:$Z$226,E$2,FALSE)</f>
        <v>Pre-requisite: risk assessment and the "three- step strategy"</v>
      </c>
      <c r="F188" s="574" t="str">
        <f>VLOOKUP($A188,'Pre-Assessment Estimator'!$A$10:$Z$226,F$2,FALSE)</f>
        <v>Yes/No</v>
      </c>
      <c r="G188" s="580" t="str">
        <f>IF(VLOOKUP($A188,'Pre-Assessment Estimator'!$A$10:$Z$226,G$2,FALSE)=0,"",VLOOKUP($A188,'Pre-Assessment Estimator'!$A$10:$Z$226,G$2,FALSE))</f>
        <v/>
      </c>
      <c r="H188" s="1220" t="str">
        <f>VLOOKUP($A188,'Pre-Assessment Estimator'!$A$10:$Z$226,H$2,FALSE)</f>
        <v>-</v>
      </c>
      <c r="I188" s="576" t="str">
        <f>VLOOKUP($A188,'Pre-Assessment Estimator'!$A$10:$Z$226,I$2,FALSE)</f>
        <v>N/A</v>
      </c>
      <c r="J188" s="577" t="str">
        <f>IF(VLOOKUP($A188,'Pre-Assessment Estimator'!$A$10:$Z$226,J$2,FALSE)=0,"",VLOOKUP($A188,'Pre-Assessment Estimator'!$A$10:$Z$226,J$2,FALSE))</f>
        <v/>
      </c>
      <c r="K188" s="577" t="str">
        <f>IF(VLOOKUP($A188,'Pre-Assessment Estimator'!$A$10:$Z$226,K$2,FALSE)=0,"",VLOOKUP($A188,'Pre-Assessment Estimator'!$A$10:$Z$226,K$2,FALSE))</f>
        <v/>
      </c>
      <c r="L188" s="578" t="str">
        <f>IF(VLOOKUP($A188,'Pre-Assessment Estimator'!$A$10:$Z$226,L$2,FALSE)=0,"",VLOOKUP($A188,'Pre-Assessment Estimator'!$A$10:$Z$226,L$2,FALSE))</f>
        <v/>
      </c>
      <c r="M188" s="579"/>
      <c r="N188" s="580" t="str">
        <f>IF(VLOOKUP($A188,'Pre-Assessment Estimator'!$A$10:$Z$226,N$2,FALSE)=0,"",VLOOKUP($A188,'Pre-Assessment Estimator'!$A$10:$Z$226,N$2,FALSE))</f>
        <v/>
      </c>
      <c r="O188" s="575" t="str">
        <f>VLOOKUP($A188,'Pre-Assessment Estimator'!$A$10:$Z$226,O$2,FALSE)</f>
        <v>-</v>
      </c>
      <c r="P188" s="574" t="str">
        <f>VLOOKUP($A188,'Pre-Assessment Estimator'!$A$10:$Z$226,P$2,FALSE)</f>
        <v>N/A</v>
      </c>
      <c r="Q188" s="577" t="str">
        <f>IF(VLOOKUP($A188,'Pre-Assessment Estimator'!$A$10:$Z$226,Q$2,FALSE)=0,"",VLOOKUP($A188,'Pre-Assessment Estimator'!$A$10:$Z$226,Q$2,FALSE))</f>
        <v/>
      </c>
      <c r="R188" s="577" t="str">
        <f>IF(VLOOKUP($A188,'Pre-Assessment Estimator'!$A$10:$Z$226,R$2,FALSE)=0,"",VLOOKUP($A188,'Pre-Assessment Estimator'!$A$10:$Z$226,R$2,FALSE))</f>
        <v/>
      </c>
      <c r="S188" s="578" t="str">
        <f>IF(VLOOKUP($A188,'Pre-Assessment Estimator'!$A$10:$Z$226,S$2,FALSE)=0,"",VLOOKUP($A188,'Pre-Assessment Estimator'!$A$10:$Z$226,S$2,FALSE))</f>
        <v/>
      </c>
      <c r="T188" s="581"/>
      <c r="U188" s="580" t="str">
        <f>IF(VLOOKUP($A188,'Pre-Assessment Estimator'!$A$10:$Z$226,U$2,FALSE)=0,"",VLOOKUP($A188,'Pre-Assessment Estimator'!$A$10:$Z$226,U$2,FALSE))</f>
        <v/>
      </c>
      <c r="V188" s="575" t="str">
        <f>VLOOKUP($A188,'Pre-Assessment Estimator'!$A$10:$Z$226,V$2,FALSE)</f>
        <v>-</v>
      </c>
      <c r="W188" s="574" t="str">
        <f>VLOOKUP($A188,'Pre-Assessment Estimator'!$A$10:$Z$226,W$2,FALSE)</f>
        <v>N/A</v>
      </c>
      <c r="X188" s="577" t="str">
        <f>IF(VLOOKUP($A188,'Pre-Assessment Estimator'!$A$10:$Z$226,X$2,FALSE)=0,"",VLOOKUP($A188,'Pre-Assessment Estimator'!$A$10:$Z$226,X$2,FALSE))</f>
        <v/>
      </c>
      <c r="Y188" s="577" t="str">
        <f>IF(VLOOKUP($A188,'Pre-Assessment Estimator'!$A$10:$Z$226,Y$2,FALSE)=0,"",VLOOKUP($A188,'Pre-Assessment Estimator'!$A$10:$Z$226,Y$2,FALSE))</f>
        <v/>
      </c>
      <c r="Z188" s="370" t="str">
        <f>IF(VLOOKUP($A188,'Pre-Assessment Estimator'!$A$10:$Z$226,Z$2,FALSE)=0,"",VLOOKUP($A188,'Pre-Assessment Estimator'!$A$10:$Z$226,Z$2,FALSE))</f>
        <v/>
      </c>
      <c r="AA188" s="696">
        <v>177</v>
      </c>
      <c r="AB188" s="577"/>
      <c r="AF188" s="386">
        <f t="shared" si="3"/>
        <v>1</v>
      </c>
    </row>
    <row r="189" spans="1:32" x14ac:dyDescent="0.25">
      <c r="A189" s="823">
        <v>180</v>
      </c>
      <c r="B189" s="1234" t="s">
        <v>70</v>
      </c>
      <c r="C189" s="1234"/>
      <c r="D189" s="1257" t="str">
        <f>VLOOKUP($A189,'Pre-Assessment Estimator'!$A$10:$Z$226,D$2,FALSE)</f>
        <v>LE 08</v>
      </c>
      <c r="E189" s="1258" t="str">
        <f>VLOOKUP($A189,'Pre-Assessment Estimator'!$A$10:$Z$226,E$2,FALSE)</f>
        <v>5 mm precipitation</v>
      </c>
      <c r="F189" s="574">
        <f>VLOOKUP($A189,'Pre-Assessment Estimator'!$A$10:$Z$226,F$2,FALSE)</f>
        <v>1</v>
      </c>
      <c r="G189" s="580" t="str">
        <f>IF(VLOOKUP($A189,'Pre-Assessment Estimator'!$A$10:$Z$226,G$2,FALSE)=0,"",VLOOKUP($A189,'Pre-Assessment Estimator'!$A$10:$Z$226,G$2,FALSE))</f>
        <v/>
      </c>
      <c r="H189" s="1220">
        <f>VLOOKUP($A189,'Pre-Assessment Estimator'!$A$10:$Z$226,H$2,FALSE)</f>
        <v>0</v>
      </c>
      <c r="I189" s="576" t="str">
        <f>VLOOKUP($A189,'Pre-Assessment Estimator'!$A$10:$Z$226,I$2,FALSE)</f>
        <v>N/A</v>
      </c>
      <c r="J189" s="577" t="str">
        <f>IF(VLOOKUP($A189,'Pre-Assessment Estimator'!$A$10:$Z$226,J$2,FALSE)=0,"",VLOOKUP($A189,'Pre-Assessment Estimator'!$A$10:$Z$226,J$2,FALSE))</f>
        <v/>
      </c>
      <c r="K189" s="577" t="str">
        <f>IF(VLOOKUP($A189,'Pre-Assessment Estimator'!$A$10:$Z$226,K$2,FALSE)=0,"",VLOOKUP($A189,'Pre-Assessment Estimator'!$A$10:$Z$226,K$2,FALSE))</f>
        <v/>
      </c>
      <c r="L189" s="578" t="str">
        <f>IF(VLOOKUP($A189,'Pre-Assessment Estimator'!$A$10:$Z$226,L$2,FALSE)=0,"",VLOOKUP($A189,'Pre-Assessment Estimator'!$A$10:$Z$226,L$2,FALSE))</f>
        <v/>
      </c>
      <c r="M189" s="579"/>
      <c r="N189" s="580" t="str">
        <f>IF(VLOOKUP($A189,'Pre-Assessment Estimator'!$A$10:$Z$226,N$2,FALSE)=0,"",VLOOKUP($A189,'Pre-Assessment Estimator'!$A$10:$Z$226,N$2,FALSE))</f>
        <v/>
      </c>
      <c r="O189" s="575">
        <f>VLOOKUP($A189,'Pre-Assessment Estimator'!$A$10:$Z$226,O$2,FALSE)</f>
        <v>0</v>
      </c>
      <c r="P189" s="574" t="str">
        <f>VLOOKUP($A189,'Pre-Assessment Estimator'!$A$10:$Z$226,P$2,FALSE)</f>
        <v>N/A</v>
      </c>
      <c r="Q189" s="577" t="str">
        <f>IF(VLOOKUP($A189,'Pre-Assessment Estimator'!$A$10:$Z$226,Q$2,FALSE)=0,"",VLOOKUP($A189,'Pre-Assessment Estimator'!$A$10:$Z$226,Q$2,FALSE))</f>
        <v/>
      </c>
      <c r="R189" s="577" t="str">
        <f>IF(VLOOKUP($A189,'Pre-Assessment Estimator'!$A$10:$Z$226,R$2,FALSE)=0,"",VLOOKUP($A189,'Pre-Assessment Estimator'!$A$10:$Z$226,R$2,FALSE))</f>
        <v/>
      </c>
      <c r="S189" s="578" t="str">
        <f>IF(VLOOKUP($A189,'Pre-Assessment Estimator'!$A$10:$Z$226,S$2,FALSE)=0,"",VLOOKUP($A189,'Pre-Assessment Estimator'!$A$10:$Z$226,S$2,FALSE))</f>
        <v/>
      </c>
      <c r="T189" s="581"/>
      <c r="U189" s="580" t="str">
        <f>IF(VLOOKUP($A189,'Pre-Assessment Estimator'!$A$10:$Z$226,U$2,FALSE)=0,"",VLOOKUP($A189,'Pre-Assessment Estimator'!$A$10:$Z$226,U$2,FALSE))</f>
        <v/>
      </c>
      <c r="V189" s="575">
        <f>VLOOKUP($A189,'Pre-Assessment Estimator'!$A$10:$Z$226,V$2,FALSE)</f>
        <v>0</v>
      </c>
      <c r="W189" s="574" t="str">
        <f>VLOOKUP($A189,'Pre-Assessment Estimator'!$A$10:$Z$226,W$2,FALSE)</f>
        <v>N/A</v>
      </c>
      <c r="X189" s="577" t="str">
        <f>IF(VLOOKUP($A189,'Pre-Assessment Estimator'!$A$10:$Z$226,X$2,FALSE)=0,"",VLOOKUP($A189,'Pre-Assessment Estimator'!$A$10:$Z$226,X$2,FALSE))</f>
        <v/>
      </c>
      <c r="Y189" s="577" t="str">
        <f>IF(VLOOKUP($A189,'Pre-Assessment Estimator'!$A$10:$Z$226,Y$2,FALSE)=0,"",VLOOKUP($A189,'Pre-Assessment Estimator'!$A$10:$Z$226,Y$2,FALSE))</f>
        <v/>
      </c>
      <c r="Z189" s="370" t="str">
        <f>IF(VLOOKUP($A189,'Pre-Assessment Estimator'!$A$10:$Z$226,Z$2,FALSE)=0,"",VLOOKUP($A189,'Pre-Assessment Estimator'!$A$10:$Z$226,Z$2,FALSE))</f>
        <v/>
      </c>
      <c r="AA189" s="696">
        <v>178</v>
      </c>
      <c r="AB189" s="577" t="str">
        <f>IF(VLOOKUP($A189,'Pre-Assessment Estimator'!$A$10:$AB$226,AB$2,FALSE)=0,"",VLOOKUP($A189,'Pre-Assessment Estimator'!$A$10:$AB$226,AB$2,FALSE))</f>
        <v/>
      </c>
      <c r="AF189" s="386">
        <f t="shared" si="3"/>
        <v>1</v>
      </c>
    </row>
    <row r="190" spans="1:32" x14ac:dyDescent="0.25">
      <c r="A190" s="823">
        <v>181</v>
      </c>
      <c r="B190" s="1234" t="s">
        <v>70</v>
      </c>
      <c r="C190" s="1234"/>
      <c r="D190" s="1257" t="str">
        <f>VLOOKUP($A190,'Pre-Assessment Estimator'!$A$10:$Z$226,D$2,FALSE)</f>
        <v>LE 08</v>
      </c>
      <c r="E190" s="1258" t="str">
        <f>VLOOKUP($A190,'Pre-Assessment Estimator'!$A$10:$Z$226,E$2,FALSE)</f>
        <v>Maximum run-off</v>
      </c>
      <c r="F190" s="574">
        <f>VLOOKUP($A190,'Pre-Assessment Estimator'!$A$10:$Z$226,F$2,FALSE)</f>
        <v>1</v>
      </c>
      <c r="G190" s="580" t="str">
        <f>IF(VLOOKUP($A190,'Pre-Assessment Estimator'!$A$10:$Z$226,G$2,FALSE)=0,"",VLOOKUP($A190,'Pre-Assessment Estimator'!$A$10:$Z$226,G$2,FALSE))</f>
        <v/>
      </c>
      <c r="H190" s="1220">
        <f>VLOOKUP($A190,'Pre-Assessment Estimator'!$A$10:$Z$226,H$2,FALSE)</f>
        <v>0</v>
      </c>
      <c r="I190" s="576" t="str">
        <f>VLOOKUP($A190,'Pre-Assessment Estimator'!$A$10:$Z$226,I$2,FALSE)</f>
        <v>N/A</v>
      </c>
      <c r="J190" s="577" t="str">
        <f>IF(VLOOKUP($A190,'Pre-Assessment Estimator'!$A$10:$Z$226,J$2,FALSE)=0,"",VLOOKUP($A190,'Pre-Assessment Estimator'!$A$10:$Z$226,J$2,FALSE))</f>
        <v/>
      </c>
      <c r="K190" s="577" t="str">
        <f>IF(VLOOKUP($A190,'Pre-Assessment Estimator'!$A$10:$Z$226,K$2,FALSE)=0,"",VLOOKUP($A190,'Pre-Assessment Estimator'!$A$10:$Z$226,K$2,FALSE))</f>
        <v/>
      </c>
      <c r="L190" s="578" t="str">
        <f>IF(VLOOKUP($A190,'Pre-Assessment Estimator'!$A$10:$Z$226,L$2,FALSE)=0,"",VLOOKUP($A190,'Pre-Assessment Estimator'!$A$10:$Z$226,L$2,FALSE))</f>
        <v/>
      </c>
      <c r="M190" s="579"/>
      <c r="N190" s="580" t="str">
        <f>IF(VLOOKUP($A190,'Pre-Assessment Estimator'!$A$10:$Z$226,N$2,FALSE)=0,"",VLOOKUP($A190,'Pre-Assessment Estimator'!$A$10:$Z$226,N$2,FALSE))</f>
        <v/>
      </c>
      <c r="O190" s="575">
        <f>VLOOKUP($A190,'Pre-Assessment Estimator'!$A$10:$Z$226,O$2,FALSE)</f>
        <v>0</v>
      </c>
      <c r="P190" s="574" t="str">
        <f>VLOOKUP($A190,'Pre-Assessment Estimator'!$A$10:$Z$226,P$2,FALSE)</f>
        <v>N/A</v>
      </c>
      <c r="Q190" s="577" t="str">
        <f>IF(VLOOKUP($A190,'Pre-Assessment Estimator'!$A$10:$Z$226,Q$2,FALSE)=0,"",VLOOKUP($A190,'Pre-Assessment Estimator'!$A$10:$Z$226,Q$2,FALSE))</f>
        <v/>
      </c>
      <c r="R190" s="577" t="str">
        <f>IF(VLOOKUP($A190,'Pre-Assessment Estimator'!$A$10:$Z$226,R$2,FALSE)=0,"",VLOOKUP($A190,'Pre-Assessment Estimator'!$A$10:$Z$226,R$2,FALSE))</f>
        <v/>
      </c>
      <c r="S190" s="578" t="str">
        <f>IF(VLOOKUP($A190,'Pre-Assessment Estimator'!$A$10:$Z$226,S$2,FALSE)=0,"",VLOOKUP($A190,'Pre-Assessment Estimator'!$A$10:$Z$226,S$2,FALSE))</f>
        <v/>
      </c>
      <c r="T190" s="581"/>
      <c r="U190" s="580" t="str">
        <f>IF(VLOOKUP($A190,'Pre-Assessment Estimator'!$A$10:$Z$226,U$2,FALSE)=0,"",VLOOKUP($A190,'Pre-Assessment Estimator'!$A$10:$Z$226,U$2,FALSE))</f>
        <v/>
      </c>
      <c r="V190" s="575">
        <f>VLOOKUP($A190,'Pre-Assessment Estimator'!$A$10:$Z$226,V$2,FALSE)</f>
        <v>0</v>
      </c>
      <c r="W190" s="574" t="str">
        <f>VLOOKUP($A190,'Pre-Assessment Estimator'!$A$10:$Z$226,W$2,FALSE)</f>
        <v>N/A</v>
      </c>
      <c r="X190" s="577" t="str">
        <f>IF(VLOOKUP($A190,'Pre-Assessment Estimator'!$A$10:$Z$226,X$2,FALSE)=0,"",VLOOKUP($A190,'Pre-Assessment Estimator'!$A$10:$Z$226,X$2,FALSE))</f>
        <v/>
      </c>
      <c r="Y190" s="577" t="str">
        <f>IF(VLOOKUP($A190,'Pre-Assessment Estimator'!$A$10:$Z$226,Y$2,FALSE)=0,"",VLOOKUP($A190,'Pre-Assessment Estimator'!$A$10:$Z$226,Y$2,FALSE))</f>
        <v/>
      </c>
      <c r="Z190" s="370" t="str">
        <f>IF(VLOOKUP($A190,'Pre-Assessment Estimator'!$A$10:$Z$226,Z$2,FALSE)=0,"",VLOOKUP($A190,'Pre-Assessment Estimator'!$A$10:$Z$226,Z$2,FALSE))</f>
        <v/>
      </c>
      <c r="AA190" s="696">
        <v>179</v>
      </c>
      <c r="AB190" s="585" t="str">
        <f>IF(VLOOKUP($A190,'Pre-Assessment Estimator'!$A$10:$AB$226,AB$2,FALSE)=0,"",VLOOKUP($A190,'Pre-Assessment Estimator'!$A$10:$AB$226,AB$2,FALSE))</f>
        <v/>
      </c>
      <c r="AC190" s="389"/>
      <c r="AD190" s="389"/>
      <c r="AE190" s="389"/>
      <c r="AF190" s="386">
        <f t="shared" si="3"/>
        <v>1</v>
      </c>
    </row>
    <row r="191" spans="1:32" x14ac:dyDescent="0.25">
      <c r="A191" s="823">
        <v>182</v>
      </c>
      <c r="B191" s="1234" t="s">
        <v>71</v>
      </c>
      <c r="C191" s="1234"/>
      <c r="D191" s="1257" t="str">
        <f>VLOOKUP($A191,'Pre-Assessment Estimator'!$A$10:$Z$226,D$2,FALSE)</f>
        <v>LE 08</v>
      </c>
      <c r="E191" s="1258" t="str">
        <f>VLOOKUP($A191,'Pre-Assessment Estimator'!$A$10:$Z$226,E$2,FALSE)</f>
        <v>Measures for surface-based water management</v>
      </c>
      <c r="F191" s="574">
        <f>VLOOKUP($A191,'Pre-Assessment Estimator'!$A$10:$Z$226,F$2,FALSE)</f>
        <v>1</v>
      </c>
      <c r="G191" s="580" t="str">
        <f>IF(VLOOKUP($A191,'Pre-Assessment Estimator'!$A$10:$Z$226,G$2,FALSE)=0,"",VLOOKUP($A191,'Pre-Assessment Estimator'!$A$10:$Z$226,G$2,FALSE))</f>
        <v/>
      </c>
      <c r="H191" s="1220">
        <f>VLOOKUP($A191,'Pre-Assessment Estimator'!$A$10:$Z$226,H$2,FALSE)</f>
        <v>0</v>
      </c>
      <c r="I191" s="576" t="str">
        <f>VLOOKUP($A191,'Pre-Assessment Estimator'!$A$10:$Z$226,I$2,FALSE)</f>
        <v>N/A</v>
      </c>
      <c r="J191" s="577" t="str">
        <f>IF(VLOOKUP($A191,'Pre-Assessment Estimator'!$A$10:$Z$226,J$2,FALSE)=0,"",VLOOKUP($A191,'Pre-Assessment Estimator'!$A$10:$Z$226,J$2,FALSE))</f>
        <v/>
      </c>
      <c r="K191" s="577" t="str">
        <f>IF(VLOOKUP($A191,'Pre-Assessment Estimator'!$A$10:$Z$226,K$2,FALSE)=0,"",VLOOKUP($A191,'Pre-Assessment Estimator'!$A$10:$Z$226,K$2,FALSE))</f>
        <v/>
      </c>
      <c r="L191" s="578" t="str">
        <f>IF(VLOOKUP($A191,'Pre-Assessment Estimator'!$A$10:$Z$226,L$2,FALSE)=0,"",VLOOKUP($A191,'Pre-Assessment Estimator'!$A$10:$Z$226,L$2,FALSE))</f>
        <v/>
      </c>
      <c r="M191" s="579"/>
      <c r="N191" s="580" t="str">
        <f>IF(VLOOKUP($A191,'Pre-Assessment Estimator'!$A$10:$Z$226,N$2,FALSE)=0,"",VLOOKUP($A191,'Pre-Assessment Estimator'!$A$10:$Z$226,N$2,FALSE))</f>
        <v/>
      </c>
      <c r="O191" s="575">
        <f>VLOOKUP($A191,'Pre-Assessment Estimator'!$A$10:$Z$226,O$2,FALSE)</f>
        <v>0</v>
      </c>
      <c r="P191" s="574" t="str">
        <f>VLOOKUP($A191,'Pre-Assessment Estimator'!$A$10:$Z$226,P$2,FALSE)</f>
        <v>N/A</v>
      </c>
      <c r="Q191" s="577" t="str">
        <f>IF(VLOOKUP($A191,'Pre-Assessment Estimator'!$A$10:$Z$226,Q$2,FALSE)=0,"",VLOOKUP($A191,'Pre-Assessment Estimator'!$A$10:$Z$226,Q$2,FALSE))</f>
        <v/>
      </c>
      <c r="R191" s="577" t="str">
        <f>IF(VLOOKUP($A191,'Pre-Assessment Estimator'!$A$10:$Z$226,R$2,FALSE)=0,"",VLOOKUP($A191,'Pre-Assessment Estimator'!$A$10:$Z$226,R$2,FALSE))</f>
        <v/>
      </c>
      <c r="S191" s="578" t="str">
        <f>IF(VLOOKUP($A191,'Pre-Assessment Estimator'!$A$10:$Z$226,S$2,FALSE)=0,"",VLOOKUP($A191,'Pre-Assessment Estimator'!$A$10:$Z$226,S$2,FALSE))</f>
        <v/>
      </c>
      <c r="T191" s="581"/>
      <c r="U191" s="580" t="str">
        <f>IF(VLOOKUP($A191,'Pre-Assessment Estimator'!$A$10:$Z$226,U$2,FALSE)=0,"",VLOOKUP($A191,'Pre-Assessment Estimator'!$A$10:$Z$226,U$2,FALSE))</f>
        <v/>
      </c>
      <c r="V191" s="575">
        <f>VLOOKUP($A191,'Pre-Assessment Estimator'!$A$10:$Z$226,V$2,FALSE)</f>
        <v>0</v>
      </c>
      <c r="W191" s="574" t="str">
        <f>VLOOKUP($A191,'Pre-Assessment Estimator'!$A$10:$Z$226,W$2,FALSE)</f>
        <v>N/A</v>
      </c>
      <c r="X191" s="577" t="str">
        <f>IF(VLOOKUP($A191,'Pre-Assessment Estimator'!$A$10:$Z$226,X$2,FALSE)=0,"",VLOOKUP($A191,'Pre-Assessment Estimator'!$A$10:$Z$226,X$2,FALSE))</f>
        <v/>
      </c>
      <c r="Y191" s="577" t="str">
        <f>IF(VLOOKUP($A191,'Pre-Assessment Estimator'!$A$10:$Z$226,Y$2,FALSE)=0,"",VLOOKUP($A191,'Pre-Assessment Estimator'!$A$10:$Z$226,Y$2,FALSE))</f>
        <v/>
      </c>
      <c r="Z191" s="370" t="str">
        <f>IF(VLOOKUP($A191,'Pre-Assessment Estimator'!$A$10:$Z$226,Z$2,FALSE)=0,"",VLOOKUP($A191,'Pre-Assessment Estimator'!$A$10:$Z$226,Z$2,FALSE))</f>
        <v/>
      </c>
      <c r="AA191" s="696">
        <v>180</v>
      </c>
      <c r="AB191" s="697" t="str">
        <f>IF(VLOOKUP($A191,'Pre-Assessment Estimator'!$A$10:$AB$226,AB$2,FALSE)=0,"",VLOOKUP($A191,'Pre-Assessment Estimator'!$A$10:$AB$226,AB$2,FALSE))</f>
        <v/>
      </c>
      <c r="AF191" s="386">
        <f t="shared" si="3"/>
        <v>1</v>
      </c>
    </row>
    <row r="192" spans="1:32" ht="30" customHeight="1" thickBot="1" x14ac:dyDescent="0.3">
      <c r="A192" s="823">
        <v>183</v>
      </c>
      <c r="B192" s="1234" t="s">
        <v>71</v>
      </c>
      <c r="C192" s="1234"/>
      <c r="D192" s="1259"/>
      <c r="E192" s="1259" t="str">
        <f>VLOOKUP($A192,'Pre-Assessment Estimator'!$A$10:$Z$226,E$2,FALSE)</f>
        <v>Total performance land use and ecology</v>
      </c>
      <c r="F192" s="582">
        <f>VLOOKUP($A192,'Pre-Assessment Estimator'!$A$10:$Z$226,F$2,FALSE)</f>
        <v>19</v>
      </c>
      <c r="G192" s="584" t="str">
        <f>IF(VLOOKUP($A192,'Pre-Assessment Estimator'!$A$10:$Z$226,G$2,FALSE)=0,"",VLOOKUP($A192,'Pre-Assessment Estimator'!$A$10:$Z$226,G$2,FALSE))</f>
        <v/>
      </c>
      <c r="H192" s="583">
        <f>VLOOKUP($A192,'Pre-Assessment Estimator'!$A$10:$Z$226,H$2,FALSE)</f>
        <v>0</v>
      </c>
      <c r="I192" s="582" t="str">
        <f>VLOOKUP($A192,'Pre-Assessment Estimator'!$A$10:$Z$226,I$2,FALSE)</f>
        <v>Credits achieved: 0</v>
      </c>
      <c r="J192" s="1202" t="str">
        <f>IF(VLOOKUP($A192,'Pre-Assessment Estimator'!$A$10:$Z$226,J$2,FALSE)=0,"",VLOOKUP($A192,'Pre-Assessment Estimator'!$A$10:$Z$226,J$2,FALSE))</f>
        <v/>
      </c>
      <c r="K192" s="1202" t="str">
        <f>IF(VLOOKUP($A192,'Pre-Assessment Estimator'!$A$10:$Z$226,K$2,FALSE)=0,"",VLOOKUP($A192,'Pre-Assessment Estimator'!$A$10:$Z$226,K$2,FALSE))</f>
        <v/>
      </c>
      <c r="L192" s="1221" t="str">
        <f>IF(VLOOKUP($A192,'Pre-Assessment Estimator'!$A$10:$Z$226,L$2,FALSE)=0,"",VLOOKUP($A192,'Pre-Assessment Estimator'!$A$10:$Z$226,L$2,FALSE))</f>
        <v/>
      </c>
      <c r="M192" s="1222"/>
      <c r="N192" s="584" t="str">
        <f>IF(VLOOKUP($A192,'Pre-Assessment Estimator'!$A$10:$Z$226,N$2,FALSE)=0,"",VLOOKUP($A192,'Pre-Assessment Estimator'!$A$10:$Z$226,N$2,FALSE))</f>
        <v/>
      </c>
      <c r="O192" s="583">
        <f>VLOOKUP($A192,'Pre-Assessment Estimator'!$A$10:$Z$226,O$2,FALSE)</f>
        <v>0</v>
      </c>
      <c r="P192" s="582" t="str">
        <f>VLOOKUP($A192,'Pre-Assessment Estimator'!$A$10:$Z$226,P$2,FALSE)</f>
        <v>Credits achieved: 0</v>
      </c>
      <c r="Q192" s="1202" t="str">
        <f>IF(VLOOKUP($A192,'Pre-Assessment Estimator'!$A$10:$Z$226,Q$2,FALSE)=0,"",VLOOKUP($A192,'Pre-Assessment Estimator'!$A$10:$Z$226,Q$2,FALSE))</f>
        <v/>
      </c>
      <c r="R192" s="1202" t="str">
        <f>IF(VLOOKUP($A192,'Pre-Assessment Estimator'!$A$10:$Z$226,R$2,FALSE)=0,"",VLOOKUP($A192,'Pre-Assessment Estimator'!$A$10:$Z$226,R$2,FALSE))</f>
        <v/>
      </c>
      <c r="S192" s="1221" t="str">
        <f>IF(VLOOKUP($A192,'Pre-Assessment Estimator'!$A$10:$Z$226,S$2,FALSE)=0,"",VLOOKUP($A192,'Pre-Assessment Estimator'!$A$10:$Z$226,S$2,FALSE))</f>
        <v/>
      </c>
      <c r="T192" s="1223"/>
      <c r="U192" s="584" t="str">
        <f>IF(VLOOKUP($A192,'Pre-Assessment Estimator'!$A$10:$Z$226,U$2,FALSE)=0,"",VLOOKUP($A192,'Pre-Assessment Estimator'!$A$10:$Z$226,U$2,FALSE))</f>
        <v/>
      </c>
      <c r="V192" s="583">
        <f>VLOOKUP($A192,'Pre-Assessment Estimator'!$A$10:$Z$226,V$2,FALSE)</f>
        <v>0</v>
      </c>
      <c r="W192" s="582" t="str">
        <f>VLOOKUP($A192,'Pre-Assessment Estimator'!$A$10:$Z$226,W$2,FALSE)</f>
        <v>Credits achieved: 0</v>
      </c>
      <c r="X192" s="1202" t="str">
        <f>IF(VLOOKUP($A192,'Pre-Assessment Estimator'!$A$10:$Z$226,X$2,FALSE)=0,"",VLOOKUP($A192,'Pre-Assessment Estimator'!$A$10:$Z$226,X$2,FALSE))</f>
        <v/>
      </c>
      <c r="Y192" s="1202" t="str">
        <f>IF(VLOOKUP($A192,'Pre-Assessment Estimator'!$A$10:$Z$226,Y$2,FALSE)=0,"",VLOOKUP($A192,'Pre-Assessment Estimator'!$A$10:$Z$226,Y$2,FALSE))</f>
        <v/>
      </c>
      <c r="Z192" s="1224" t="str">
        <f>IF(VLOOKUP($A192,'Pre-Assessment Estimator'!$A$10:$Z$226,Z$2,FALSE)=0,"",VLOOKUP($A192,'Pre-Assessment Estimator'!$A$10:$Z$226,Z$2,FALSE))</f>
        <v/>
      </c>
      <c r="AA192" s="696">
        <v>181</v>
      </c>
      <c r="AB192" s="577" t="str">
        <f>IF(VLOOKUP($A192,'Pre-Assessment Estimator'!$A$10:$AB$226,AB$2,FALSE)=0,"",VLOOKUP($A192,'Pre-Assessment Estimator'!$A$10:$AB$226,AB$2,FALSE))</f>
        <v/>
      </c>
      <c r="AF192" s="386">
        <f t="shared" si="3"/>
        <v>1</v>
      </c>
    </row>
    <row r="193" spans="1:32" x14ac:dyDescent="0.25">
      <c r="A193" s="823">
        <v>184</v>
      </c>
      <c r="B193" s="1234" t="s">
        <v>71</v>
      </c>
      <c r="C193" s="1234"/>
      <c r="D193" s="585"/>
      <c r="E193" s="585"/>
      <c r="F193" s="586"/>
      <c r="G193" s="586"/>
      <c r="H193" s="586"/>
      <c r="I193" s="586"/>
      <c r="J193" s="585"/>
      <c r="K193" s="586"/>
      <c r="L193" s="585"/>
      <c r="M193" s="579"/>
      <c r="N193" s="586"/>
      <c r="O193" s="586"/>
      <c r="P193" s="586"/>
      <c r="Q193" s="585"/>
      <c r="R193" s="586"/>
      <c r="S193" s="585"/>
      <c r="T193" s="581"/>
      <c r="U193" s="586"/>
      <c r="V193" s="586"/>
      <c r="W193" s="586"/>
      <c r="X193" s="585"/>
      <c r="Y193" s="586"/>
      <c r="Z193" s="343"/>
      <c r="AA193" s="696">
        <v>182</v>
      </c>
      <c r="AB193" s="577" t="str">
        <f>IF(VLOOKUP($A193,'Pre-Assessment Estimator'!$A$10:$AB$226,AB$2,FALSE)=0,"",VLOOKUP($A193,'Pre-Assessment Estimator'!$A$10:$AB$226,AB$2,FALSE))</f>
        <v/>
      </c>
      <c r="AF193" s="386">
        <f t="shared" si="3"/>
        <v>1</v>
      </c>
    </row>
    <row r="194" spans="1:32" ht="18.75" x14ac:dyDescent="0.25">
      <c r="A194" s="823">
        <v>185</v>
      </c>
      <c r="B194" s="1234" t="s">
        <v>71</v>
      </c>
      <c r="C194" s="1234"/>
      <c r="D194" s="587"/>
      <c r="E194" s="587" t="s">
        <v>71</v>
      </c>
      <c r="F194" s="570"/>
      <c r="G194" s="570"/>
      <c r="H194" s="570"/>
      <c r="I194" s="570"/>
      <c r="J194" s="571"/>
      <c r="K194" s="570"/>
      <c r="L194" s="571"/>
      <c r="M194" s="579"/>
      <c r="N194" s="570"/>
      <c r="O194" s="570"/>
      <c r="P194" s="570"/>
      <c r="Q194" s="571"/>
      <c r="R194" s="570"/>
      <c r="S194" s="571"/>
      <c r="T194" s="581"/>
      <c r="U194" s="570"/>
      <c r="V194" s="570"/>
      <c r="W194" s="570"/>
      <c r="X194" s="571"/>
      <c r="Y194" s="570"/>
      <c r="Z194" s="411"/>
      <c r="AA194" s="696">
        <v>183</v>
      </c>
      <c r="AB194" s="577"/>
      <c r="AF194" s="386">
        <f t="shared" si="3"/>
        <v>1</v>
      </c>
    </row>
    <row r="195" spans="1:32" x14ac:dyDescent="0.25">
      <c r="A195" s="823">
        <v>186</v>
      </c>
      <c r="B195" s="1234" t="s">
        <v>71</v>
      </c>
      <c r="C195" s="1234"/>
      <c r="D195" s="1256" t="str">
        <f>VLOOKUP($A195,'Pre-Assessment Estimator'!$A$10:$Z$226,D$2,FALSE)</f>
        <v>POL 01</v>
      </c>
      <c r="E195" s="1256" t="str">
        <f>VLOOKUP($A195,'Pre-Assessment Estimator'!$A$10:$Z$226,E$2,FALSE)</f>
        <v>POL 01 Impacts of refrigerants</v>
      </c>
      <c r="F195" s="574">
        <f>VLOOKUP($A195,'Pre-Assessment Estimator'!$A$10:$Z$226,F$2,FALSE)</f>
        <v>3</v>
      </c>
      <c r="G195" s="580" t="str">
        <f>IF(VLOOKUP($A195,'Pre-Assessment Estimator'!$A$10:$Z$226,G$2,FALSE)=0,"",VLOOKUP($A195,'Pre-Assessment Estimator'!$A$10:$Z$226,G$2,FALSE))</f>
        <v/>
      </c>
      <c r="H195" s="1220" t="str">
        <f>VLOOKUP($A195,'Pre-Assessment Estimator'!$A$10:$Z$226,H$2,FALSE)</f>
        <v>0 c. 0 %</v>
      </c>
      <c r="I195" s="576" t="str">
        <f>VLOOKUP($A195,'Pre-Assessment Estimator'!$A$10:$Z$226,I$2,FALSE)</f>
        <v>N/A</v>
      </c>
      <c r="J195" s="577" t="str">
        <f>IF(VLOOKUP($A195,'Pre-Assessment Estimator'!$A$10:$Z$226,J$2,FALSE)=0,"",VLOOKUP($A195,'Pre-Assessment Estimator'!$A$10:$Z$226,J$2,FALSE))</f>
        <v/>
      </c>
      <c r="K195" s="577" t="str">
        <f>IF(VLOOKUP($A195,'Pre-Assessment Estimator'!$A$10:$Z$226,K$2,FALSE)=0,"",VLOOKUP($A195,'Pre-Assessment Estimator'!$A$10:$Z$226,K$2,FALSE))</f>
        <v/>
      </c>
      <c r="L195" s="578" t="str">
        <f>IF(VLOOKUP($A195,'Pre-Assessment Estimator'!$A$10:$Z$226,L$2,FALSE)=0,"",VLOOKUP($A195,'Pre-Assessment Estimator'!$A$10:$Z$226,L$2,FALSE))</f>
        <v/>
      </c>
      <c r="M195" s="579"/>
      <c r="N195" s="580" t="str">
        <f>IF(VLOOKUP($A195,'Pre-Assessment Estimator'!$A$10:$Z$226,N$2,FALSE)=0,"",VLOOKUP($A195,'Pre-Assessment Estimator'!$A$10:$Z$226,N$2,FALSE))</f>
        <v/>
      </c>
      <c r="O195" s="575" t="str">
        <f>VLOOKUP($A195,'Pre-Assessment Estimator'!$A$10:$Z$226,O$2,FALSE)</f>
        <v>0 c. 0 %</v>
      </c>
      <c r="P195" s="574" t="str">
        <f>VLOOKUP($A195,'Pre-Assessment Estimator'!$A$10:$Z$226,P$2,FALSE)</f>
        <v>N/A</v>
      </c>
      <c r="Q195" s="577" t="str">
        <f>IF(VLOOKUP($A195,'Pre-Assessment Estimator'!$A$10:$Z$226,Q$2,FALSE)=0,"",VLOOKUP($A195,'Pre-Assessment Estimator'!$A$10:$Z$226,Q$2,FALSE))</f>
        <v/>
      </c>
      <c r="R195" s="577" t="str">
        <f>IF(VLOOKUP($A195,'Pre-Assessment Estimator'!$A$10:$Z$226,R$2,FALSE)=0,"",VLOOKUP($A195,'Pre-Assessment Estimator'!$A$10:$Z$226,R$2,FALSE))</f>
        <v/>
      </c>
      <c r="S195" s="578" t="str">
        <f>IF(VLOOKUP($A195,'Pre-Assessment Estimator'!$A$10:$Z$226,S$2,FALSE)=0,"",VLOOKUP($A195,'Pre-Assessment Estimator'!$A$10:$Z$226,S$2,FALSE))</f>
        <v/>
      </c>
      <c r="T195" s="581"/>
      <c r="U195" s="580" t="str">
        <f>IF(VLOOKUP($A195,'Pre-Assessment Estimator'!$A$10:$Z$226,U$2,FALSE)=0,"",VLOOKUP($A195,'Pre-Assessment Estimator'!$A$10:$Z$226,U$2,FALSE))</f>
        <v/>
      </c>
      <c r="V195" s="575" t="str">
        <f>VLOOKUP($A195,'Pre-Assessment Estimator'!$A$10:$Z$226,V$2,FALSE)</f>
        <v>0 c. 0 %</v>
      </c>
      <c r="W195" s="574" t="str">
        <f>VLOOKUP($A195,'Pre-Assessment Estimator'!$A$10:$Z$226,W$2,FALSE)</f>
        <v>N/A</v>
      </c>
      <c r="X195" s="577" t="str">
        <f>IF(VLOOKUP($A195,'Pre-Assessment Estimator'!$A$10:$Z$226,X$2,FALSE)=0,"",VLOOKUP($A195,'Pre-Assessment Estimator'!$A$10:$Z$226,X$2,FALSE))</f>
        <v/>
      </c>
      <c r="Y195" s="577" t="str">
        <f>IF(VLOOKUP($A195,'Pre-Assessment Estimator'!$A$10:$Z$226,Y$2,FALSE)=0,"",VLOOKUP($A195,'Pre-Assessment Estimator'!$A$10:$Z$226,Y$2,FALSE))</f>
        <v/>
      </c>
      <c r="Z195" s="370" t="str">
        <f>IF(VLOOKUP($A195,'Pre-Assessment Estimator'!$A$10:$Z$226,Z$2,FALSE)=0,"",VLOOKUP($A195,'Pre-Assessment Estimator'!$A$10:$Z$226,Z$2,FALSE))</f>
        <v/>
      </c>
      <c r="AA195" s="696">
        <v>184</v>
      </c>
      <c r="AB195" s="577"/>
      <c r="AF195" s="386">
        <f t="shared" si="3"/>
        <v>1</v>
      </c>
    </row>
    <row r="196" spans="1:32" x14ac:dyDescent="0.25">
      <c r="A196" s="823">
        <v>187</v>
      </c>
      <c r="B196" s="1234" t="s">
        <v>71</v>
      </c>
      <c r="C196" s="1234"/>
      <c r="D196" s="1257" t="str">
        <f>VLOOKUP($A196,'Pre-Assessment Estimator'!$A$10:$Z$226,D$2,FALSE)</f>
        <v>POL 01</v>
      </c>
      <c r="E196" s="1257" t="str">
        <f>VLOOKUP($A196,'Pre-Assessment Estimator'!$A$10:$Z$226,E$2,FALSE)</f>
        <v>No refrigerants in the building</v>
      </c>
      <c r="F196" s="574">
        <f>VLOOKUP($A196,'Pre-Assessment Estimator'!$A$10:$Z$226,F$2,FALSE)</f>
        <v>3</v>
      </c>
      <c r="G196" s="580" t="str">
        <f>IF(VLOOKUP($A196,'Pre-Assessment Estimator'!$A$10:$Z$226,G$2,FALSE)=0,"",VLOOKUP($A196,'Pre-Assessment Estimator'!$A$10:$Z$226,G$2,FALSE))</f>
        <v/>
      </c>
      <c r="H196" s="1220">
        <f>VLOOKUP($A196,'Pre-Assessment Estimator'!$A$10:$Z$226,H$2,FALSE)</f>
        <v>0</v>
      </c>
      <c r="I196" s="576" t="str">
        <f>VLOOKUP($A196,'Pre-Assessment Estimator'!$A$10:$Z$226,I$2,FALSE)</f>
        <v>N/A</v>
      </c>
      <c r="J196" s="577" t="str">
        <f>IF(VLOOKUP($A196,'Pre-Assessment Estimator'!$A$10:$Z$226,J$2,FALSE)=0,"",VLOOKUP($A196,'Pre-Assessment Estimator'!$A$10:$Z$226,J$2,FALSE))</f>
        <v/>
      </c>
      <c r="K196" s="577" t="str">
        <f>IF(VLOOKUP($A196,'Pre-Assessment Estimator'!$A$10:$Z$226,K$2,FALSE)=0,"",VLOOKUP($A196,'Pre-Assessment Estimator'!$A$10:$Z$226,K$2,FALSE))</f>
        <v/>
      </c>
      <c r="L196" s="578" t="str">
        <f>IF(VLOOKUP($A196,'Pre-Assessment Estimator'!$A$10:$Z$226,L$2,FALSE)=0,"",VLOOKUP($A196,'Pre-Assessment Estimator'!$A$10:$Z$226,L$2,FALSE))</f>
        <v/>
      </c>
      <c r="M196" s="579"/>
      <c r="N196" s="580" t="str">
        <f>IF(VLOOKUP($A196,'Pre-Assessment Estimator'!$A$10:$Z$226,N$2,FALSE)=0,"",VLOOKUP($A196,'Pre-Assessment Estimator'!$A$10:$Z$226,N$2,FALSE))</f>
        <v/>
      </c>
      <c r="O196" s="575">
        <f>VLOOKUP($A196,'Pre-Assessment Estimator'!$A$10:$Z$226,O$2,FALSE)</f>
        <v>0</v>
      </c>
      <c r="P196" s="574" t="str">
        <f>VLOOKUP($A196,'Pre-Assessment Estimator'!$A$10:$Z$226,P$2,FALSE)</f>
        <v>N/A</v>
      </c>
      <c r="Q196" s="577" t="str">
        <f>IF(VLOOKUP($A196,'Pre-Assessment Estimator'!$A$10:$Z$226,Q$2,FALSE)=0,"",VLOOKUP($A196,'Pre-Assessment Estimator'!$A$10:$Z$226,Q$2,FALSE))</f>
        <v/>
      </c>
      <c r="R196" s="577" t="str">
        <f>IF(VLOOKUP($A196,'Pre-Assessment Estimator'!$A$10:$Z$226,R$2,FALSE)=0,"",VLOOKUP($A196,'Pre-Assessment Estimator'!$A$10:$Z$226,R$2,FALSE))</f>
        <v/>
      </c>
      <c r="S196" s="578" t="str">
        <f>IF(VLOOKUP($A196,'Pre-Assessment Estimator'!$A$10:$Z$226,S$2,FALSE)=0,"",VLOOKUP($A196,'Pre-Assessment Estimator'!$A$10:$Z$226,S$2,FALSE))</f>
        <v/>
      </c>
      <c r="T196" s="581"/>
      <c r="U196" s="580" t="str">
        <f>IF(VLOOKUP($A196,'Pre-Assessment Estimator'!$A$10:$Z$226,U$2,FALSE)=0,"",VLOOKUP($A196,'Pre-Assessment Estimator'!$A$10:$Z$226,U$2,FALSE))</f>
        <v/>
      </c>
      <c r="V196" s="575">
        <f>VLOOKUP($A196,'Pre-Assessment Estimator'!$A$10:$Z$226,V$2,FALSE)</f>
        <v>0</v>
      </c>
      <c r="W196" s="574" t="str">
        <f>VLOOKUP($A196,'Pre-Assessment Estimator'!$A$10:$Z$226,W$2,FALSE)</f>
        <v>N/A</v>
      </c>
      <c r="X196" s="577" t="str">
        <f>IF(VLOOKUP($A196,'Pre-Assessment Estimator'!$A$10:$Z$226,X$2,FALSE)=0,"",VLOOKUP($A196,'Pre-Assessment Estimator'!$A$10:$Z$226,X$2,FALSE))</f>
        <v/>
      </c>
      <c r="Y196" s="577" t="str">
        <f>IF(VLOOKUP($A196,'Pre-Assessment Estimator'!$A$10:$Z$226,Y$2,FALSE)=0,"",VLOOKUP($A196,'Pre-Assessment Estimator'!$A$10:$Z$226,Y$2,FALSE))</f>
        <v/>
      </c>
      <c r="Z196" s="370" t="str">
        <f>IF(VLOOKUP($A196,'Pre-Assessment Estimator'!$A$10:$Z$226,Z$2,FALSE)=0,"",VLOOKUP($A196,'Pre-Assessment Estimator'!$A$10:$Z$226,Z$2,FALSE))</f>
        <v/>
      </c>
      <c r="AA196" s="696">
        <v>185</v>
      </c>
      <c r="AB196" s="577"/>
      <c r="AF196" s="386">
        <f t="shared" si="3"/>
        <v>1</v>
      </c>
    </row>
    <row r="197" spans="1:32" x14ac:dyDescent="0.25">
      <c r="A197" s="823">
        <v>188</v>
      </c>
      <c r="B197" s="1234" t="s">
        <v>71</v>
      </c>
      <c r="C197" s="1234"/>
      <c r="D197" s="1257" t="str">
        <f>VLOOKUP($A197,'Pre-Assessment Estimator'!$A$10:$Z$226,D$2,FALSE)</f>
        <v>POL 01</v>
      </c>
      <c r="E197" s="1257" t="str">
        <f>VLOOKUP($A197,'Pre-Assessment Estimator'!$A$10:$Z$226,E$2,FALSE)</f>
        <v>Pre-requisite: impact of refrigerants</v>
      </c>
      <c r="F197" s="574">
        <f>VLOOKUP($A197,'Pre-Assessment Estimator'!$A$10:$Z$226,F$2,FALSE)</f>
        <v>0</v>
      </c>
      <c r="G197" s="580" t="str">
        <f>IF(VLOOKUP($A197,'Pre-Assessment Estimator'!$A$10:$Z$226,G$2,FALSE)=0,"",VLOOKUP($A197,'Pre-Assessment Estimator'!$A$10:$Z$226,G$2,FALSE))</f>
        <v/>
      </c>
      <c r="H197" s="1220" t="str">
        <f>VLOOKUP($A197,'Pre-Assessment Estimator'!$A$10:$Z$226,H$2,FALSE)</f>
        <v>-</v>
      </c>
      <c r="I197" s="576" t="str">
        <f>VLOOKUP($A197,'Pre-Assessment Estimator'!$A$10:$Z$226,I$2,FALSE)</f>
        <v>N/A</v>
      </c>
      <c r="J197" s="577" t="str">
        <f>IF(VLOOKUP($A197,'Pre-Assessment Estimator'!$A$10:$Z$226,J$2,FALSE)=0,"",VLOOKUP($A197,'Pre-Assessment Estimator'!$A$10:$Z$226,J$2,FALSE))</f>
        <v/>
      </c>
      <c r="K197" s="577" t="str">
        <f>IF(VLOOKUP($A197,'Pre-Assessment Estimator'!$A$10:$Z$226,K$2,FALSE)=0,"",VLOOKUP($A197,'Pre-Assessment Estimator'!$A$10:$Z$226,K$2,FALSE))</f>
        <v/>
      </c>
      <c r="L197" s="578" t="str">
        <f>IF(VLOOKUP($A197,'Pre-Assessment Estimator'!$A$10:$Z$226,L$2,FALSE)=0,"",VLOOKUP($A197,'Pre-Assessment Estimator'!$A$10:$Z$226,L$2,FALSE))</f>
        <v/>
      </c>
      <c r="M197" s="579"/>
      <c r="N197" s="580" t="str">
        <f>IF(VLOOKUP($A197,'Pre-Assessment Estimator'!$A$10:$Z$226,N$2,FALSE)=0,"",VLOOKUP($A197,'Pre-Assessment Estimator'!$A$10:$Z$226,N$2,FALSE))</f>
        <v/>
      </c>
      <c r="O197" s="575" t="str">
        <f>VLOOKUP($A197,'Pre-Assessment Estimator'!$A$10:$Z$226,O$2,FALSE)</f>
        <v>-</v>
      </c>
      <c r="P197" s="574" t="str">
        <f>VLOOKUP($A197,'Pre-Assessment Estimator'!$A$10:$Z$226,P$2,FALSE)</f>
        <v>N/A</v>
      </c>
      <c r="Q197" s="577" t="str">
        <f>IF(VLOOKUP($A197,'Pre-Assessment Estimator'!$A$10:$Z$226,Q$2,FALSE)=0,"",VLOOKUP($A197,'Pre-Assessment Estimator'!$A$10:$Z$226,Q$2,FALSE))</f>
        <v/>
      </c>
      <c r="R197" s="577" t="str">
        <f>IF(VLOOKUP($A197,'Pre-Assessment Estimator'!$A$10:$Z$226,R$2,FALSE)=0,"",VLOOKUP($A197,'Pre-Assessment Estimator'!$A$10:$Z$226,R$2,FALSE))</f>
        <v/>
      </c>
      <c r="S197" s="578" t="str">
        <f>IF(VLOOKUP($A197,'Pre-Assessment Estimator'!$A$10:$Z$226,S$2,FALSE)=0,"",VLOOKUP($A197,'Pre-Assessment Estimator'!$A$10:$Z$226,S$2,FALSE))</f>
        <v/>
      </c>
      <c r="T197" s="581"/>
      <c r="U197" s="580" t="str">
        <f>IF(VLOOKUP($A197,'Pre-Assessment Estimator'!$A$10:$Z$226,U$2,FALSE)=0,"",VLOOKUP($A197,'Pre-Assessment Estimator'!$A$10:$Z$226,U$2,FALSE))</f>
        <v/>
      </c>
      <c r="V197" s="575" t="str">
        <f>VLOOKUP($A197,'Pre-Assessment Estimator'!$A$10:$Z$226,V$2,FALSE)</f>
        <v>-</v>
      </c>
      <c r="W197" s="574" t="str">
        <f>VLOOKUP($A197,'Pre-Assessment Estimator'!$A$10:$Z$226,W$2,FALSE)</f>
        <v>N/A</v>
      </c>
      <c r="X197" s="577" t="str">
        <f>IF(VLOOKUP($A197,'Pre-Assessment Estimator'!$A$10:$Z$226,X$2,FALSE)=0,"",VLOOKUP($A197,'Pre-Assessment Estimator'!$A$10:$Z$226,X$2,FALSE))</f>
        <v/>
      </c>
      <c r="Y197" s="577" t="str">
        <f>IF(VLOOKUP($A197,'Pre-Assessment Estimator'!$A$10:$Z$226,Y$2,FALSE)=0,"",VLOOKUP($A197,'Pre-Assessment Estimator'!$A$10:$Z$226,Y$2,FALSE))</f>
        <v/>
      </c>
      <c r="Z197" s="370" t="str">
        <f>IF(VLOOKUP($A197,'Pre-Assessment Estimator'!$A$10:$Z$226,Z$2,FALSE)=0,"",VLOOKUP($A197,'Pre-Assessment Estimator'!$A$10:$Z$226,Z$2,FALSE))</f>
        <v/>
      </c>
      <c r="AA197" s="696">
        <v>186</v>
      </c>
      <c r="AB197" s="577"/>
      <c r="AF197" s="386">
        <f t="shared" si="3"/>
        <v>2</v>
      </c>
    </row>
    <row r="198" spans="1:32" x14ac:dyDescent="0.25">
      <c r="A198" s="823">
        <v>189</v>
      </c>
      <c r="B198" s="1234" t="s">
        <v>71</v>
      </c>
      <c r="C198" s="1234"/>
      <c r="D198" s="1257" t="str">
        <f>VLOOKUP($A198,'Pre-Assessment Estimator'!$A$10:$Z$226,D$2,FALSE)</f>
        <v>POL 01</v>
      </c>
      <c r="E198" s="1257" t="str">
        <f>VLOOKUP($A198,'Pre-Assessment Estimator'!$A$10:$Z$226,E$2,FALSE)</f>
        <v>Impact of refrigerants</v>
      </c>
      <c r="F198" s="574">
        <f>VLOOKUP($A198,'Pre-Assessment Estimator'!$A$10:$Z$226,F$2,FALSE)</f>
        <v>0</v>
      </c>
      <c r="G198" s="580" t="str">
        <f>IF(VLOOKUP($A198,'Pre-Assessment Estimator'!$A$10:$Z$226,G$2,FALSE)=0,"",VLOOKUP($A198,'Pre-Assessment Estimator'!$A$10:$Z$226,G$2,FALSE))</f>
        <v/>
      </c>
      <c r="H198" s="1220">
        <f>VLOOKUP($A198,'Pre-Assessment Estimator'!$A$10:$Z$226,H$2,FALSE)</f>
        <v>0</v>
      </c>
      <c r="I198" s="576" t="str">
        <f>VLOOKUP($A198,'Pre-Assessment Estimator'!$A$10:$Z$226,I$2,FALSE)</f>
        <v>N/A</v>
      </c>
      <c r="J198" s="577" t="str">
        <f>IF(VLOOKUP($A198,'Pre-Assessment Estimator'!$A$10:$Z$226,J$2,FALSE)=0,"",VLOOKUP($A198,'Pre-Assessment Estimator'!$A$10:$Z$226,J$2,FALSE))</f>
        <v/>
      </c>
      <c r="K198" s="577" t="str">
        <f>IF(VLOOKUP($A198,'Pre-Assessment Estimator'!$A$10:$Z$226,K$2,FALSE)=0,"",VLOOKUP($A198,'Pre-Assessment Estimator'!$A$10:$Z$226,K$2,FALSE))</f>
        <v/>
      </c>
      <c r="L198" s="578" t="str">
        <f>IF(VLOOKUP($A198,'Pre-Assessment Estimator'!$A$10:$Z$226,L$2,FALSE)=0,"",VLOOKUP($A198,'Pre-Assessment Estimator'!$A$10:$Z$226,L$2,FALSE))</f>
        <v/>
      </c>
      <c r="M198" s="579"/>
      <c r="N198" s="580" t="str">
        <f>IF(VLOOKUP($A198,'Pre-Assessment Estimator'!$A$10:$Z$226,N$2,FALSE)=0,"",VLOOKUP($A198,'Pre-Assessment Estimator'!$A$10:$Z$226,N$2,FALSE))</f>
        <v/>
      </c>
      <c r="O198" s="575">
        <f>VLOOKUP($A198,'Pre-Assessment Estimator'!$A$10:$Z$226,O$2,FALSE)</f>
        <v>0</v>
      </c>
      <c r="P198" s="574" t="str">
        <f>VLOOKUP($A198,'Pre-Assessment Estimator'!$A$10:$Z$226,P$2,FALSE)</f>
        <v>N/A</v>
      </c>
      <c r="Q198" s="577" t="str">
        <f>IF(VLOOKUP($A198,'Pre-Assessment Estimator'!$A$10:$Z$226,Q$2,FALSE)=0,"",VLOOKUP($A198,'Pre-Assessment Estimator'!$A$10:$Z$226,Q$2,FALSE))</f>
        <v/>
      </c>
      <c r="R198" s="577" t="str">
        <f>IF(VLOOKUP($A198,'Pre-Assessment Estimator'!$A$10:$Z$226,R$2,FALSE)=0,"",VLOOKUP($A198,'Pre-Assessment Estimator'!$A$10:$Z$226,R$2,FALSE))</f>
        <v/>
      </c>
      <c r="S198" s="578" t="str">
        <f>IF(VLOOKUP($A198,'Pre-Assessment Estimator'!$A$10:$Z$226,S$2,FALSE)=0,"",VLOOKUP($A198,'Pre-Assessment Estimator'!$A$10:$Z$226,S$2,FALSE))</f>
        <v/>
      </c>
      <c r="T198" s="581"/>
      <c r="U198" s="580" t="str">
        <f>IF(VLOOKUP($A198,'Pre-Assessment Estimator'!$A$10:$Z$226,U$2,FALSE)=0,"",VLOOKUP($A198,'Pre-Assessment Estimator'!$A$10:$Z$226,U$2,FALSE))</f>
        <v/>
      </c>
      <c r="V198" s="575">
        <f>VLOOKUP($A198,'Pre-Assessment Estimator'!$A$10:$Z$226,V$2,FALSE)</f>
        <v>0</v>
      </c>
      <c r="W198" s="574" t="str">
        <f>VLOOKUP($A198,'Pre-Assessment Estimator'!$A$10:$Z$226,W$2,FALSE)</f>
        <v>N/A</v>
      </c>
      <c r="X198" s="577" t="str">
        <f>IF(VLOOKUP($A198,'Pre-Assessment Estimator'!$A$10:$Z$226,X$2,FALSE)=0,"",VLOOKUP($A198,'Pre-Assessment Estimator'!$A$10:$Z$226,X$2,FALSE))</f>
        <v/>
      </c>
      <c r="Y198" s="577" t="str">
        <f>IF(VLOOKUP($A198,'Pre-Assessment Estimator'!$A$10:$Z$226,Y$2,FALSE)=0,"",VLOOKUP($A198,'Pre-Assessment Estimator'!$A$10:$Z$226,Y$2,FALSE))</f>
        <v/>
      </c>
      <c r="Z198" s="370" t="str">
        <f>IF(VLOOKUP($A198,'Pre-Assessment Estimator'!$A$10:$Z$226,Z$2,FALSE)=0,"",VLOOKUP($A198,'Pre-Assessment Estimator'!$A$10:$Z$226,Z$2,FALSE))</f>
        <v/>
      </c>
      <c r="AA198" s="696">
        <v>187</v>
      </c>
      <c r="AB198" s="577"/>
      <c r="AF198" s="386">
        <f t="shared" si="3"/>
        <v>2</v>
      </c>
    </row>
    <row r="199" spans="1:32" x14ac:dyDescent="0.25">
      <c r="A199" s="823">
        <v>190</v>
      </c>
      <c r="B199" s="1234" t="s">
        <v>71</v>
      </c>
      <c r="C199" s="1234"/>
      <c r="D199" s="1257" t="str">
        <f>VLOOKUP($A199,'Pre-Assessment Estimator'!$A$10:$Z$226,D$2,FALSE)</f>
        <v>POL 01</v>
      </c>
      <c r="E199" s="1257" t="str">
        <f>VLOOKUP($A199,'Pre-Assessment Estimator'!$A$10:$Z$226,E$2,FALSE)</f>
        <v>Leak detection</v>
      </c>
      <c r="F199" s="574">
        <f>VLOOKUP($A199,'Pre-Assessment Estimator'!$A$10:$Z$226,F$2,FALSE)</f>
        <v>0</v>
      </c>
      <c r="G199" s="580" t="str">
        <f>IF(VLOOKUP($A199,'Pre-Assessment Estimator'!$A$10:$Z$226,G$2,FALSE)=0,"",VLOOKUP($A199,'Pre-Assessment Estimator'!$A$10:$Z$226,G$2,FALSE))</f>
        <v/>
      </c>
      <c r="H199" s="1220">
        <f>VLOOKUP($A199,'Pre-Assessment Estimator'!$A$10:$Z$226,H$2,FALSE)</f>
        <v>0</v>
      </c>
      <c r="I199" s="576" t="str">
        <f>VLOOKUP($A199,'Pre-Assessment Estimator'!$A$10:$Z$226,I$2,FALSE)</f>
        <v>N/A</v>
      </c>
      <c r="J199" s="577" t="str">
        <f>IF(VLOOKUP($A199,'Pre-Assessment Estimator'!$A$10:$Z$226,J$2,FALSE)=0,"",VLOOKUP($A199,'Pre-Assessment Estimator'!$A$10:$Z$226,J$2,FALSE))</f>
        <v/>
      </c>
      <c r="K199" s="577" t="str">
        <f>IF(VLOOKUP($A199,'Pre-Assessment Estimator'!$A$10:$Z$226,K$2,FALSE)=0,"",VLOOKUP($A199,'Pre-Assessment Estimator'!$A$10:$Z$226,K$2,FALSE))</f>
        <v/>
      </c>
      <c r="L199" s="578" t="str">
        <f>IF(VLOOKUP($A199,'Pre-Assessment Estimator'!$A$10:$Z$226,L$2,FALSE)=0,"",VLOOKUP($A199,'Pre-Assessment Estimator'!$A$10:$Z$226,L$2,FALSE))</f>
        <v/>
      </c>
      <c r="M199" s="579"/>
      <c r="N199" s="580" t="str">
        <f>IF(VLOOKUP($A199,'Pre-Assessment Estimator'!$A$10:$Z$226,N$2,FALSE)=0,"",VLOOKUP($A199,'Pre-Assessment Estimator'!$A$10:$Z$226,N$2,FALSE))</f>
        <v/>
      </c>
      <c r="O199" s="575">
        <f>VLOOKUP($A199,'Pre-Assessment Estimator'!$A$10:$Z$226,O$2,FALSE)</f>
        <v>0</v>
      </c>
      <c r="P199" s="574" t="str">
        <f>VLOOKUP($A199,'Pre-Assessment Estimator'!$A$10:$Z$226,P$2,FALSE)</f>
        <v>N/A</v>
      </c>
      <c r="Q199" s="577" t="str">
        <f>IF(VLOOKUP($A199,'Pre-Assessment Estimator'!$A$10:$Z$226,Q$2,FALSE)=0,"",VLOOKUP($A199,'Pre-Assessment Estimator'!$A$10:$Z$226,Q$2,FALSE))</f>
        <v/>
      </c>
      <c r="R199" s="577" t="str">
        <f>IF(VLOOKUP($A199,'Pre-Assessment Estimator'!$A$10:$Z$226,R$2,FALSE)=0,"",VLOOKUP($A199,'Pre-Assessment Estimator'!$A$10:$Z$226,R$2,FALSE))</f>
        <v/>
      </c>
      <c r="S199" s="578" t="str">
        <f>IF(VLOOKUP($A199,'Pre-Assessment Estimator'!$A$10:$Z$226,S$2,FALSE)=0,"",VLOOKUP($A199,'Pre-Assessment Estimator'!$A$10:$Z$226,S$2,FALSE))</f>
        <v/>
      </c>
      <c r="T199" s="581"/>
      <c r="U199" s="580" t="str">
        <f>IF(VLOOKUP($A199,'Pre-Assessment Estimator'!$A$10:$Z$226,U$2,FALSE)=0,"",VLOOKUP($A199,'Pre-Assessment Estimator'!$A$10:$Z$226,U$2,FALSE))</f>
        <v/>
      </c>
      <c r="V199" s="575">
        <f>VLOOKUP($A199,'Pre-Assessment Estimator'!$A$10:$Z$226,V$2,FALSE)</f>
        <v>0</v>
      </c>
      <c r="W199" s="574" t="str">
        <f>VLOOKUP($A199,'Pre-Assessment Estimator'!$A$10:$Z$226,W$2,FALSE)</f>
        <v>N/A</v>
      </c>
      <c r="X199" s="577" t="str">
        <f>IF(VLOOKUP($A199,'Pre-Assessment Estimator'!$A$10:$Z$226,X$2,FALSE)=0,"",VLOOKUP($A199,'Pre-Assessment Estimator'!$A$10:$Z$226,X$2,FALSE))</f>
        <v/>
      </c>
      <c r="Y199" s="577" t="str">
        <f>IF(VLOOKUP($A199,'Pre-Assessment Estimator'!$A$10:$Z$226,Y$2,FALSE)=0,"",VLOOKUP($A199,'Pre-Assessment Estimator'!$A$10:$Z$226,Y$2,FALSE))</f>
        <v/>
      </c>
      <c r="Z199" s="370" t="str">
        <f>IF(VLOOKUP($A199,'Pre-Assessment Estimator'!$A$10:$Z$226,Z$2,FALSE)=0,"",VLOOKUP($A199,'Pre-Assessment Estimator'!$A$10:$Z$226,Z$2,FALSE))</f>
        <v/>
      </c>
      <c r="AA199" s="696">
        <v>188</v>
      </c>
      <c r="AB199" s="577"/>
      <c r="AF199" s="386">
        <f t="shared" si="3"/>
        <v>2</v>
      </c>
    </row>
    <row r="200" spans="1:32" x14ac:dyDescent="0.25">
      <c r="A200" s="823">
        <v>191</v>
      </c>
      <c r="B200" s="1234" t="s">
        <v>71</v>
      </c>
      <c r="C200" s="1234"/>
      <c r="D200" s="1256" t="str">
        <f>VLOOKUP($A200,'Pre-Assessment Estimator'!$A$10:$Z$226,D$2,FALSE)</f>
        <v>POL 02</v>
      </c>
      <c r="E200" s="1256" t="str">
        <f>VLOOKUP($A200,'Pre-Assessment Estimator'!$A$10:$Z$226,E$2,FALSE)</f>
        <v>POL 02 Local air quality</v>
      </c>
      <c r="F200" s="574">
        <f>VLOOKUP($A200,'Pre-Assessment Estimator'!$A$10:$Z$226,F$2,FALSE)</f>
        <v>2</v>
      </c>
      <c r="G200" s="580" t="str">
        <f>IF(VLOOKUP($A200,'Pre-Assessment Estimator'!$A$10:$Z$226,G$2,FALSE)=0,"",VLOOKUP($A200,'Pre-Assessment Estimator'!$A$10:$Z$226,G$2,FALSE))</f>
        <v/>
      </c>
      <c r="H200" s="1220" t="str">
        <f>VLOOKUP($A200,'Pre-Assessment Estimator'!$A$10:$Z$226,H$2,FALSE)</f>
        <v>0 c. 0 %</v>
      </c>
      <c r="I200" s="576" t="str">
        <f>VLOOKUP($A200,'Pre-Assessment Estimator'!$A$10:$Z$226,I$2,FALSE)</f>
        <v>N/A</v>
      </c>
      <c r="J200" s="577" t="str">
        <f>IF(VLOOKUP($A200,'Pre-Assessment Estimator'!$A$10:$Z$226,J$2,FALSE)=0,"",VLOOKUP($A200,'Pre-Assessment Estimator'!$A$10:$Z$226,J$2,FALSE))</f>
        <v/>
      </c>
      <c r="K200" s="577" t="str">
        <f>IF(VLOOKUP($A200,'Pre-Assessment Estimator'!$A$10:$Z$226,K$2,FALSE)=0,"",VLOOKUP($A200,'Pre-Assessment Estimator'!$A$10:$Z$226,K$2,FALSE))</f>
        <v/>
      </c>
      <c r="L200" s="578" t="str">
        <f>IF(VLOOKUP($A200,'Pre-Assessment Estimator'!$A$10:$Z$226,L$2,FALSE)=0,"",VLOOKUP($A200,'Pre-Assessment Estimator'!$A$10:$Z$226,L$2,FALSE))</f>
        <v/>
      </c>
      <c r="M200" s="579"/>
      <c r="N200" s="580" t="str">
        <f>IF(VLOOKUP($A200,'Pre-Assessment Estimator'!$A$10:$Z$226,N$2,FALSE)=0,"",VLOOKUP($A200,'Pre-Assessment Estimator'!$A$10:$Z$226,N$2,FALSE))</f>
        <v/>
      </c>
      <c r="O200" s="575" t="str">
        <f>VLOOKUP($A200,'Pre-Assessment Estimator'!$A$10:$Z$226,O$2,FALSE)</f>
        <v>0 c. 0 %</v>
      </c>
      <c r="P200" s="574" t="str">
        <f>VLOOKUP($A200,'Pre-Assessment Estimator'!$A$10:$Z$226,P$2,FALSE)</f>
        <v>N/A</v>
      </c>
      <c r="Q200" s="577" t="str">
        <f>IF(VLOOKUP($A200,'Pre-Assessment Estimator'!$A$10:$Z$226,Q$2,FALSE)=0,"",VLOOKUP($A200,'Pre-Assessment Estimator'!$A$10:$Z$226,Q$2,FALSE))</f>
        <v/>
      </c>
      <c r="R200" s="577" t="str">
        <f>IF(VLOOKUP($A200,'Pre-Assessment Estimator'!$A$10:$Z$226,R$2,FALSE)=0,"",VLOOKUP($A200,'Pre-Assessment Estimator'!$A$10:$Z$226,R$2,FALSE))</f>
        <v/>
      </c>
      <c r="S200" s="578" t="str">
        <f>IF(VLOOKUP($A200,'Pre-Assessment Estimator'!$A$10:$Z$226,S$2,FALSE)=0,"",VLOOKUP($A200,'Pre-Assessment Estimator'!$A$10:$Z$226,S$2,FALSE))</f>
        <v/>
      </c>
      <c r="T200" s="581"/>
      <c r="U200" s="580" t="str">
        <f>IF(VLOOKUP($A200,'Pre-Assessment Estimator'!$A$10:$Z$226,U$2,FALSE)=0,"",VLOOKUP($A200,'Pre-Assessment Estimator'!$A$10:$Z$226,U$2,FALSE))</f>
        <v/>
      </c>
      <c r="V200" s="575" t="str">
        <f>VLOOKUP($A200,'Pre-Assessment Estimator'!$A$10:$Z$226,V$2,FALSE)</f>
        <v>0 c. 0 %</v>
      </c>
      <c r="W200" s="574" t="str">
        <f>VLOOKUP($A200,'Pre-Assessment Estimator'!$A$10:$Z$226,W$2,FALSE)</f>
        <v>N/A</v>
      </c>
      <c r="X200" s="577" t="str">
        <f>IF(VLOOKUP($A200,'Pre-Assessment Estimator'!$A$10:$Z$226,X$2,FALSE)=0,"",VLOOKUP($A200,'Pre-Assessment Estimator'!$A$10:$Z$226,X$2,FALSE))</f>
        <v/>
      </c>
      <c r="Y200" s="577" t="str">
        <f>IF(VLOOKUP($A200,'Pre-Assessment Estimator'!$A$10:$Z$226,Y$2,FALSE)=0,"",VLOOKUP($A200,'Pre-Assessment Estimator'!$A$10:$Z$226,Y$2,FALSE))</f>
        <v/>
      </c>
      <c r="Z200" s="370" t="str">
        <f>IF(VLOOKUP($A200,'Pre-Assessment Estimator'!$A$10:$Z$226,Z$2,FALSE)=0,"",VLOOKUP($A200,'Pre-Assessment Estimator'!$A$10:$Z$226,Z$2,FALSE))</f>
        <v/>
      </c>
      <c r="AA200" s="696">
        <v>189</v>
      </c>
      <c r="AB200" s="577"/>
      <c r="AF200" s="386">
        <f t="shared" si="3"/>
        <v>1</v>
      </c>
    </row>
    <row r="201" spans="1:32" x14ac:dyDescent="0.25">
      <c r="A201" s="823">
        <v>192</v>
      </c>
      <c r="B201" s="1234" t="s">
        <v>71</v>
      </c>
      <c r="C201" s="1234"/>
      <c r="D201" s="1257" t="str">
        <f>VLOOKUP($A201,'Pre-Assessment Estimator'!$A$10:$Z$226,D$2,FALSE)</f>
        <v>POL 02</v>
      </c>
      <c r="E201" s="1257" t="str">
        <f>VLOOKUP($A201,'Pre-Assessment Estimator'!$A$10:$Z$226,E$2,FALSE)</f>
        <v>Non-combustion heating and hot water system</v>
      </c>
      <c r="F201" s="574">
        <f>VLOOKUP($A201,'Pre-Assessment Estimator'!$A$10:$Z$226,F$2,FALSE)</f>
        <v>2</v>
      </c>
      <c r="G201" s="580" t="str">
        <f>IF(VLOOKUP($A201,'Pre-Assessment Estimator'!$A$10:$Z$226,G$2,FALSE)=0,"",VLOOKUP($A201,'Pre-Assessment Estimator'!$A$10:$Z$226,G$2,FALSE))</f>
        <v/>
      </c>
      <c r="H201" s="1220">
        <f>VLOOKUP($A201,'Pre-Assessment Estimator'!$A$10:$Z$226,H$2,FALSE)</f>
        <v>0</v>
      </c>
      <c r="I201" s="576" t="str">
        <f>VLOOKUP($A201,'Pre-Assessment Estimator'!$A$10:$Z$226,I$2,FALSE)</f>
        <v>N/A</v>
      </c>
      <c r="J201" s="577" t="str">
        <f>IF(VLOOKUP($A201,'Pre-Assessment Estimator'!$A$10:$Z$226,J$2,FALSE)=0,"",VLOOKUP($A201,'Pre-Assessment Estimator'!$A$10:$Z$226,J$2,FALSE))</f>
        <v/>
      </c>
      <c r="K201" s="577" t="str">
        <f>IF(VLOOKUP($A201,'Pre-Assessment Estimator'!$A$10:$Z$226,K$2,FALSE)=0,"",VLOOKUP($A201,'Pre-Assessment Estimator'!$A$10:$Z$226,K$2,FALSE))</f>
        <v/>
      </c>
      <c r="L201" s="578" t="str">
        <f>IF(VLOOKUP($A201,'Pre-Assessment Estimator'!$A$10:$Z$226,L$2,FALSE)=0,"",VLOOKUP($A201,'Pre-Assessment Estimator'!$A$10:$Z$226,L$2,FALSE))</f>
        <v/>
      </c>
      <c r="M201" s="579"/>
      <c r="N201" s="580" t="str">
        <f>IF(VLOOKUP($A201,'Pre-Assessment Estimator'!$A$10:$Z$226,N$2,FALSE)=0,"",VLOOKUP($A201,'Pre-Assessment Estimator'!$A$10:$Z$226,N$2,FALSE))</f>
        <v/>
      </c>
      <c r="O201" s="575">
        <f>VLOOKUP($A201,'Pre-Assessment Estimator'!$A$10:$Z$226,O$2,FALSE)</f>
        <v>0</v>
      </c>
      <c r="P201" s="574" t="str">
        <f>VLOOKUP($A201,'Pre-Assessment Estimator'!$A$10:$Z$226,P$2,FALSE)</f>
        <v>N/A</v>
      </c>
      <c r="Q201" s="577" t="str">
        <f>IF(VLOOKUP($A201,'Pre-Assessment Estimator'!$A$10:$Z$226,Q$2,FALSE)=0,"",VLOOKUP($A201,'Pre-Assessment Estimator'!$A$10:$Z$226,Q$2,FALSE))</f>
        <v/>
      </c>
      <c r="R201" s="577" t="str">
        <f>IF(VLOOKUP($A201,'Pre-Assessment Estimator'!$A$10:$Z$226,R$2,FALSE)=0,"",VLOOKUP($A201,'Pre-Assessment Estimator'!$A$10:$Z$226,R$2,FALSE))</f>
        <v/>
      </c>
      <c r="S201" s="578" t="str">
        <f>IF(VLOOKUP($A201,'Pre-Assessment Estimator'!$A$10:$Z$226,S$2,FALSE)=0,"",VLOOKUP($A201,'Pre-Assessment Estimator'!$A$10:$Z$226,S$2,FALSE))</f>
        <v/>
      </c>
      <c r="T201" s="581"/>
      <c r="U201" s="580" t="str">
        <f>IF(VLOOKUP($A201,'Pre-Assessment Estimator'!$A$10:$Z$226,U$2,FALSE)=0,"",VLOOKUP($A201,'Pre-Assessment Estimator'!$A$10:$Z$226,U$2,FALSE))</f>
        <v/>
      </c>
      <c r="V201" s="575">
        <f>VLOOKUP($A201,'Pre-Assessment Estimator'!$A$10:$Z$226,V$2,FALSE)</f>
        <v>0</v>
      </c>
      <c r="W201" s="574" t="str">
        <f>VLOOKUP($A201,'Pre-Assessment Estimator'!$A$10:$Z$226,W$2,FALSE)</f>
        <v>N/A</v>
      </c>
      <c r="X201" s="577" t="str">
        <f>IF(VLOOKUP($A201,'Pre-Assessment Estimator'!$A$10:$Z$226,X$2,FALSE)=0,"",VLOOKUP($A201,'Pre-Assessment Estimator'!$A$10:$Z$226,X$2,FALSE))</f>
        <v/>
      </c>
      <c r="Y201" s="577" t="str">
        <f>IF(VLOOKUP($A201,'Pre-Assessment Estimator'!$A$10:$Z$226,Y$2,FALSE)=0,"",VLOOKUP($A201,'Pre-Assessment Estimator'!$A$10:$Z$226,Y$2,FALSE))</f>
        <v/>
      </c>
      <c r="Z201" s="370" t="str">
        <f>IF(VLOOKUP($A201,'Pre-Assessment Estimator'!$A$10:$Z$226,Z$2,FALSE)=0,"",VLOOKUP($A201,'Pre-Assessment Estimator'!$A$10:$Z$226,Z$2,FALSE))</f>
        <v/>
      </c>
      <c r="AA201" s="696">
        <v>190</v>
      </c>
      <c r="AB201" s="577"/>
      <c r="AF201" s="386">
        <f t="shared" si="3"/>
        <v>1</v>
      </c>
    </row>
    <row r="202" spans="1:32" x14ac:dyDescent="0.25">
      <c r="A202" s="823">
        <v>193</v>
      </c>
      <c r="B202" s="1234" t="s">
        <v>71</v>
      </c>
      <c r="C202" s="1234"/>
      <c r="D202" s="1257" t="str">
        <f>VLOOKUP($A202,'Pre-Assessment Estimator'!$A$10:$Z$226,D$2,FALSE)</f>
        <v>POL 02</v>
      </c>
      <c r="E202" s="1257" t="str">
        <f>VLOOKUP($A202,'Pre-Assessment Estimator'!$A$10:$Z$226,E$2,FALSE)</f>
        <v>Combustion-powered heating and hot water</v>
      </c>
      <c r="F202" s="574">
        <f>VLOOKUP($A202,'Pre-Assessment Estimator'!$A$10:$Z$226,F$2,FALSE)</f>
        <v>0</v>
      </c>
      <c r="G202" s="580" t="str">
        <f>IF(VLOOKUP($A202,'Pre-Assessment Estimator'!$A$10:$Z$226,G$2,FALSE)=0,"",VLOOKUP($A202,'Pre-Assessment Estimator'!$A$10:$Z$226,G$2,FALSE))</f>
        <v/>
      </c>
      <c r="H202" s="1220">
        <f>VLOOKUP($A202,'Pre-Assessment Estimator'!$A$10:$Z$226,H$2,FALSE)</f>
        <v>0</v>
      </c>
      <c r="I202" s="576" t="str">
        <f>VLOOKUP($A202,'Pre-Assessment Estimator'!$A$10:$Z$226,I$2,FALSE)</f>
        <v>N/A</v>
      </c>
      <c r="J202" s="577" t="str">
        <f>IF(VLOOKUP($A202,'Pre-Assessment Estimator'!$A$10:$Z$226,J$2,FALSE)=0,"",VLOOKUP($A202,'Pre-Assessment Estimator'!$A$10:$Z$226,J$2,FALSE))</f>
        <v/>
      </c>
      <c r="K202" s="577" t="str">
        <f>IF(VLOOKUP($A202,'Pre-Assessment Estimator'!$A$10:$Z$226,K$2,FALSE)=0,"",VLOOKUP($A202,'Pre-Assessment Estimator'!$A$10:$Z$226,K$2,FALSE))</f>
        <v/>
      </c>
      <c r="L202" s="578" t="str">
        <f>IF(VLOOKUP($A202,'Pre-Assessment Estimator'!$A$10:$Z$226,L$2,FALSE)=0,"",VLOOKUP($A202,'Pre-Assessment Estimator'!$A$10:$Z$226,L$2,FALSE))</f>
        <v/>
      </c>
      <c r="M202" s="579"/>
      <c r="N202" s="580" t="str">
        <f>IF(VLOOKUP($A202,'Pre-Assessment Estimator'!$A$10:$Z$226,N$2,FALSE)=0,"",VLOOKUP($A202,'Pre-Assessment Estimator'!$A$10:$Z$226,N$2,FALSE))</f>
        <v/>
      </c>
      <c r="O202" s="575">
        <f>VLOOKUP($A202,'Pre-Assessment Estimator'!$A$10:$Z$226,O$2,FALSE)</f>
        <v>0</v>
      </c>
      <c r="P202" s="574" t="str">
        <f>VLOOKUP($A202,'Pre-Assessment Estimator'!$A$10:$Z$226,P$2,FALSE)</f>
        <v>N/A</v>
      </c>
      <c r="Q202" s="577" t="str">
        <f>IF(VLOOKUP($A202,'Pre-Assessment Estimator'!$A$10:$Z$226,Q$2,FALSE)=0,"",VLOOKUP($A202,'Pre-Assessment Estimator'!$A$10:$Z$226,Q$2,FALSE))</f>
        <v/>
      </c>
      <c r="R202" s="577" t="str">
        <f>IF(VLOOKUP($A202,'Pre-Assessment Estimator'!$A$10:$Z$226,R$2,FALSE)=0,"",VLOOKUP($A202,'Pre-Assessment Estimator'!$A$10:$Z$226,R$2,FALSE))</f>
        <v/>
      </c>
      <c r="S202" s="578" t="str">
        <f>IF(VLOOKUP($A202,'Pre-Assessment Estimator'!$A$10:$Z$226,S$2,FALSE)=0,"",VLOOKUP($A202,'Pre-Assessment Estimator'!$A$10:$Z$226,S$2,FALSE))</f>
        <v/>
      </c>
      <c r="T202" s="581"/>
      <c r="U202" s="580" t="str">
        <f>IF(VLOOKUP($A202,'Pre-Assessment Estimator'!$A$10:$Z$226,U$2,FALSE)=0,"",VLOOKUP($A202,'Pre-Assessment Estimator'!$A$10:$Z$226,U$2,FALSE))</f>
        <v/>
      </c>
      <c r="V202" s="575">
        <f>VLOOKUP($A202,'Pre-Assessment Estimator'!$A$10:$Z$226,V$2,FALSE)</f>
        <v>0</v>
      </c>
      <c r="W202" s="574" t="str">
        <f>VLOOKUP($A202,'Pre-Assessment Estimator'!$A$10:$Z$226,W$2,FALSE)</f>
        <v>N/A</v>
      </c>
      <c r="X202" s="577" t="str">
        <f>IF(VLOOKUP($A202,'Pre-Assessment Estimator'!$A$10:$Z$226,X$2,FALSE)=0,"",VLOOKUP($A202,'Pre-Assessment Estimator'!$A$10:$Z$226,X$2,FALSE))</f>
        <v/>
      </c>
      <c r="Y202" s="577" t="str">
        <f>IF(VLOOKUP($A202,'Pre-Assessment Estimator'!$A$10:$Z$226,Y$2,FALSE)=0,"",VLOOKUP($A202,'Pre-Assessment Estimator'!$A$10:$Z$226,Y$2,FALSE))</f>
        <v/>
      </c>
      <c r="Z202" s="370" t="str">
        <f>IF(VLOOKUP($A202,'Pre-Assessment Estimator'!$A$10:$Z$226,Z$2,FALSE)=0,"",VLOOKUP($A202,'Pre-Assessment Estimator'!$A$10:$Z$226,Z$2,FALSE))</f>
        <v/>
      </c>
      <c r="AA202" s="696">
        <v>191</v>
      </c>
      <c r="AB202" s="577"/>
      <c r="AF202" s="386">
        <f t="shared" si="3"/>
        <v>2</v>
      </c>
    </row>
    <row r="203" spans="1:32" x14ac:dyDescent="0.25">
      <c r="A203" s="823">
        <v>194</v>
      </c>
      <c r="B203" s="1234" t="s">
        <v>71</v>
      </c>
      <c r="C203" s="1234"/>
      <c r="D203" s="1256" t="str">
        <f>VLOOKUP($A203,'Pre-Assessment Estimator'!$A$10:$Z$226,D$2,FALSE)</f>
        <v>POL 04</v>
      </c>
      <c r="E203" s="1256" t="str">
        <f>VLOOKUP($A203,'Pre-Assessment Estimator'!$A$10:$Z$226,E$2,FALSE)</f>
        <v>POL 04 Reduction of night time light pollution</v>
      </c>
      <c r="F203" s="574">
        <f>VLOOKUP($A203,'Pre-Assessment Estimator'!$A$10:$Z$226,F$2,FALSE)</f>
        <v>1</v>
      </c>
      <c r="G203" s="580" t="str">
        <f>IF(VLOOKUP($A203,'Pre-Assessment Estimator'!$A$10:$Z$226,G$2,FALSE)=0,"",VLOOKUP($A203,'Pre-Assessment Estimator'!$A$10:$Z$226,G$2,FALSE))</f>
        <v/>
      </c>
      <c r="H203" s="1220" t="str">
        <f>VLOOKUP($A203,'Pre-Assessment Estimator'!$A$10:$Z$226,H$2,FALSE)</f>
        <v>0 c. 0 %</v>
      </c>
      <c r="I203" s="576" t="str">
        <f>VLOOKUP($A203,'Pre-Assessment Estimator'!$A$10:$Z$226,I$2,FALSE)</f>
        <v>N/A</v>
      </c>
      <c r="J203" s="577" t="str">
        <f>IF(VLOOKUP($A203,'Pre-Assessment Estimator'!$A$10:$Z$226,J$2,FALSE)=0,"",VLOOKUP($A203,'Pre-Assessment Estimator'!$A$10:$Z$226,J$2,FALSE))</f>
        <v/>
      </c>
      <c r="K203" s="577" t="str">
        <f>IF(VLOOKUP($A203,'Pre-Assessment Estimator'!$A$10:$Z$226,K$2,FALSE)=0,"",VLOOKUP($A203,'Pre-Assessment Estimator'!$A$10:$Z$226,K$2,FALSE))</f>
        <v/>
      </c>
      <c r="L203" s="578" t="str">
        <f>IF(VLOOKUP($A203,'Pre-Assessment Estimator'!$A$10:$Z$226,L$2,FALSE)=0,"",VLOOKUP($A203,'Pre-Assessment Estimator'!$A$10:$Z$226,L$2,FALSE))</f>
        <v/>
      </c>
      <c r="M203" s="579"/>
      <c r="N203" s="580" t="str">
        <f>IF(VLOOKUP($A203,'Pre-Assessment Estimator'!$A$10:$Z$226,N$2,FALSE)=0,"",VLOOKUP($A203,'Pre-Assessment Estimator'!$A$10:$Z$226,N$2,FALSE))</f>
        <v/>
      </c>
      <c r="O203" s="575" t="str">
        <f>VLOOKUP($A203,'Pre-Assessment Estimator'!$A$10:$Z$226,O$2,FALSE)</f>
        <v>0 c. 0 %</v>
      </c>
      <c r="P203" s="574" t="str">
        <f>VLOOKUP($A203,'Pre-Assessment Estimator'!$A$10:$Z$226,P$2,FALSE)</f>
        <v>N/A</v>
      </c>
      <c r="Q203" s="577" t="str">
        <f>IF(VLOOKUP($A203,'Pre-Assessment Estimator'!$A$10:$Z$226,Q$2,FALSE)=0,"",VLOOKUP($A203,'Pre-Assessment Estimator'!$A$10:$Z$226,Q$2,FALSE))</f>
        <v/>
      </c>
      <c r="R203" s="577" t="str">
        <f>IF(VLOOKUP($A203,'Pre-Assessment Estimator'!$A$10:$Z$226,R$2,FALSE)=0,"",VLOOKUP($A203,'Pre-Assessment Estimator'!$A$10:$Z$226,R$2,FALSE))</f>
        <v/>
      </c>
      <c r="S203" s="578" t="str">
        <f>IF(VLOOKUP($A203,'Pre-Assessment Estimator'!$A$10:$Z$226,S$2,FALSE)=0,"",VLOOKUP($A203,'Pre-Assessment Estimator'!$A$10:$Z$226,S$2,FALSE))</f>
        <v/>
      </c>
      <c r="T203" s="581"/>
      <c r="U203" s="580" t="str">
        <f>IF(VLOOKUP($A203,'Pre-Assessment Estimator'!$A$10:$Z$226,U$2,FALSE)=0,"",VLOOKUP($A203,'Pre-Assessment Estimator'!$A$10:$Z$226,U$2,FALSE))</f>
        <v/>
      </c>
      <c r="V203" s="575" t="str">
        <f>VLOOKUP($A203,'Pre-Assessment Estimator'!$A$10:$Z$226,V$2,FALSE)</f>
        <v>0 c. 0 %</v>
      </c>
      <c r="W203" s="574" t="str">
        <f>VLOOKUP($A203,'Pre-Assessment Estimator'!$A$10:$Z$226,W$2,FALSE)</f>
        <v>N/A</v>
      </c>
      <c r="X203" s="577" t="str">
        <f>IF(VLOOKUP($A203,'Pre-Assessment Estimator'!$A$10:$Z$226,X$2,FALSE)=0,"",VLOOKUP($A203,'Pre-Assessment Estimator'!$A$10:$Z$226,X$2,FALSE))</f>
        <v/>
      </c>
      <c r="Y203" s="577" t="str">
        <f>IF(VLOOKUP($A203,'Pre-Assessment Estimator'!$A$10:$Z$226,Y$2,FALSE)=0,"",VLOOKUP($A203,'Pre-Assessment Estimator'!$A$10:$Z$226,Y$2,FALSE))</f>
        <v/>
      </c>
      <c r="Z203" s="370" t="str">
        <f>IF(VLOOKUP($A203,'Pre-Assessment Estimator'!$A$10:$Z$226,Z$2,FALSE)=0,"",VLOOKUP($A203,'Pre-Assessment Estimator'!$A$10:$Z$226,Z$2,FALSE))</f>
        <v/>
      </c>
      <c r="AA203" s="696">
        <v>192</v>
      </c>
      <c r="AB203" s="577"/>
      <c r="AF203" s="386">
        <f t="shared" si="3"/>
        <v>1</v>
      </c>
    </row>
    <row r="204" spans="1:32" x14ac:dyDescent="0.25">
      <c r="A204" s="823">
        <v>195</v>
      </c>
      <c r="B204" s="1234" t="s">
        <v>71</v>
      </c>
      <c r="C204" s="1234"/>
      <c r="D204" s="1257" t="str">
        <f>VLOOKUP($A204,'Pre-Assessment Estimator'!$A$10:$Z$226,D$2,FALSE)</f>
        <v>POL 04</v>
      </c>
      <c r="E204" s="1257" t="str">
        <f>VLOOKUP($A204,'Pre-Assessment Estimator'!$A$10:$Z$226,E$2,FALSE)</f>
        <v xml:space="preserve">No external lighting pollution </v>
      </c>
      <c r="F204" s="574">
        <f>VLOOKUP($A204,'Pre-Assessment Estimator'!$A$10:$Z$226,F$2,FALSE)</f>
        <v>1</v>
      </c>
      <c r="G204" s="580" t="str">
        <f>IF(VLOOKUP($A204,'Pre-Assessment Estimator'!$A$10:$Z$226,G$2,FALSE)=0,"",VLOOKUP($A204,'Pre-Assessment Estimator'!$A$10:$Z$226,G$2,FALSE))</f>
        <v/>
      </c>
      <c r="H204" s="1220">
        <f>VLOOKUP($A204,'Pre-Assessment Estimator'!$A$10:$Z$226,H$2,FALSE)</f>
        <v>0</v>
      </c>
      <c r="I204" s="576" t="str">
        <f>VLOOKUP($A204,'Pre-Assessment Estimator'!$A$10:$Z$226,I$2,FALSE)</f>
        <v>N/A</v>
      </c>
      <c r="J204" s="577" t="str">
        <f>IF(VLOOKUP($A204,'Pre-Assessment Estimator'!$A$10:$Z$226,J$2,FALSE)=0,"",VLOOKUP($A204,'Pre-Assessment Estimator'!$A$10:$Z$226,J$2,FALSE))</f>
        <v/>
      </c>
      <c r="K204" s="577" t="str">
        <f>IF(VLOOKUP($A204,'Pre-Assessment Estimator'!$A$10:$Z$226,K$2,FALSE)=0,"",VLOOKUP($A204,'Pre-Assessment Estimator'!$A$10:$Z$226,K$2,FALSE))</f>
        <v/>
      </c>
      <c r="L204" s="578" t="str">
        <f>IF(VLOOKUP($A204,'Pre-Assessment Estimator'!$A$10:$Z$226,L$2,FALSE)=0,"",VLOOKUP($A204,'Pre-Assessment Estimator'!$A$10:$Z$226,L$2,FALSE))</f>
        <v/>
      </c>
      <c r="M204" s="579"/>
      <c r="N204" s="580" t="str">
        <f>IF(VLOOKUP($A204,'Pre-Assessment Estimator'!$A$10:$Z$226,N$2,FALSE)=0,"",VLOOKUP($A204,'Pre-Assessment Estimator'!$A$10:$Z$226,N$2,FALSE))</f>
        <v/>
      </c>
      <c r="O204" s="575">
        <f>VLOOKUP($A204,'Pre-Assessment Estimator'!$A$10:$Z$226,O$2,FALSE)</f>
        <v>0</v>
      </c>
      <c r="P204" s="574" t="str">
        <f>VLOOKUP($A204,'Pre-Assessment Estimator'!$A$10:$Z$226,P$2,FALSE)</f>
        <v>N/A</v>
      </c>
      <c r="Q204" s="577" t="str">
        <f>IF(VLOOKUP($A204,'Pre-Assessment Estimator'!$A$10:$Z$226,Q$2,FALSE)=0,"",VLOOKUP($A204,'Pre-Assessment Estimator'!$A$10:$Z$226,Q$2,FALSE))</f>
        <v/>
      </c>
      <c r="R204" s="577" t="str">
        <f>IF(VLOOKUP($A204,'Pre-Assessment Estimator'!$A$10:$Z$226,R$2,FALSE)=0,"",VLOOKUP($A204,'Pre-Assessment Estimator'!$A$10:$Z$226,R$2,FALSE))</f>
        <v/>
      </c>
      <c r="S204" s="578" t="str">
        <f>IF(VLOOKUP($A204,'Pre-Assessment Estimator'!$A$10:$Z$226,S$2,FALSE)=0,"",VLOOKUP($A204,'Pre-Assessment Estimator'!$A$10:$Z$226,S$2,FALSE))</f>
        <v/>
      </c>
      <c r="T204" s="581"/>
      <c r="U204" s="580" t="str">
        <f>IF(VLOOKUP($A204,'Pre-Assessment Estimator'!$A$10:$Z$226,U$2,FALSE)=0,"",VLOOKUP($A204,'Pre-Assessment Estimator'!$A$10:$Z$226,U$2,FALSE))</f>
        <v/>
      </c>
      <c r="V204" s="575">
        <f>VLOOKUP($A204,'Pre-Assessment Estimator'!$A$10:$Z$226,V$2,FALSE)</f>
        <v>0</v>
      </c>
      <c r="W204" s="574" t="str">
        <f>VLOOKUP($A204,'Pre-Assessment Estimator'!$A$10:$Z$226,W$2,FALSE)</f>
        <v>N/A</v>
      </c>
      <c r="X204" s="577" t="str">
        <f>IF(VLOOKUP($A204,'Pre-Assessment Estimator'!$A$10:$Z$226,X$2,FALSE)=0,"",VLOOKUP($A204,'Pre-Assessment Estimator'!$A$10:$Z$226,X$2,FALSE))</f>
        <v/>
      </c>
      <c r="Y204" s="577" t="str">
        <f>IF(VLOOKUP($A204,'Pre-Assessment Estimator'!$A$10:$Z$226,Y$2,FALSE)=0,"",VLOOKUP($A204,'Pre-Assessment Estimator'!$A$10:$Z$226,Y$2,FALSE))</f>
        <v/>
      </c>
      <c r="Z204" s="370" t="str">
        <f>IF(VLOOKUP($A204,'Pre-Assessment Estimator'!$A$10:$Z$226,Z$2,FALSE)=0,"",VLOOKUP($A204,'Pre-Assessment Estimator'!$A$10:$Z$226,Z$2,FALSE))</f>
        <v/>
      </c>
      <c r="AA204" s="696">
        <v>193</v>
      </c>
      <c r="AB204" s="577"/>
      <c r="AF204" s="386">
        <f t="shared" si="3"/>
        <v>1</v>
      </c>
    </row>
    <row r="205" spans="1:32" x14ac:dyDescent="0.25">
      <c r="A205" s="823">
        <v>196</v>
      </c>
      <c r="B205" s="1234" t="s">
        <v>71</v>
      </c>
      <c r="C205" s="1234"/>
      <c r="D205" s="1257" t="str">
        <f>VLOOKUP($A205,'Pre-Assessment Estimator'!$A$10:$Z$226,D$2,FALSE)</f>
        <v>POL 04</v>
      </c>
      <c r="E205" s="1257" t="str">
        <f>VLOOKUP($A205,'Pre-Assessment Estimator'!$A$10:$Z$226,E$2,FALSE)</f>
        <v>Minimizing external light pollution</v>
      </c>
      <c r="F205" s="574">
        <f>VLOOKUP($A205,'Pre-Assessment Estimator'!$A$10:$Z$226,F$2,FALSE)</f>
        <v>0</v>
      </c>
      <c r="G205" s="580" t="str">
        <f>IF(VLOOKUP($A205,'Pre-Assessment Estimator'!$A$10:$Z$226,G$2,FALSE)=0,"",VLOOKUP($A205,'Pre-Assessment Estimator'!$A$10:$Z$226,G$2,FALSE))</f>
        <v/>
      </c>
      <c r="H205" s="1220">
        <f>VLOOKUP($A205,'Pre-Assessment Estimator'!$A$10:$Z$226,H$2,FALSE)</f>
        <v>0</v>
      </c>
      <c r="I205" s="576" t="str">
        <f>VLOOKUP($A205,'Pre-Assessment Estimator'!$A$10:$Z$226,I$2,FALSE)</f>
        <v>N/A</v>
      </c>
      <c r="J205" s="577" t="str">
        <f>IF(VLOOKUP($A205,'Pre-Assessment Estimator'!$A$10:$Z$226,J$2,FALSE)=0,"",VLOOKUP($A205,'Pre-Assessment Estimator'!$A$10:$Z$226,J$2,FALSE))</f>
        <v/>
      </c>
      <c r="K205" s="577" t="str">
        <f>IF(VLOOKUP($A205,'Pre-Assessment Estimator'!$A$10:$Z$226,K$2,FALSE)=0,"",VLOOKUP($A205,'Pre-Assessment Estimator'!$A$10:$Z$226,K$2,FALSE))</f>
        <v/>
      </c>
      <c r="L205" s="578" t="str">
        <f>IF(VLOOKUP($A205,'Pre-Assessment Estimator'!$A$10:$Z$226,L$2,FALSE)=0,"",VLOOKUP($A205,'Pre-Assessment Estimator'!$A$10:$Z$226,L$2,FALSE))</f>
        <v/>
      </c>
      <c r="M205" s="579"/>
      <c r="N205" s="580" t="str">
        <f>IF(VLOOKUP($A205,'Pre-Assessment Estimator'!$A$10:$Z$226,N$2,FALSE)=0,"",VLOOKUP($A205,'Pre-Assessment Estimator'!$A$10:$Z$226,N$2,FALSE))</f>
        <v/>
      </c>
      <c r="O205" s="575">
        <f>VLOOKUP($A205,'Pre-Assessment Estimator'!$A$10:$Z$226,O$2,FALSE)</f>
        <v>0</v>
      </c>
      <c r="P205" s="574" t="str">
        <f>VLOOKUP($A205,'Pre-Assessment Estimator'!$A$10:$Z$226,P$2,FALSE)</f>
        <v>N/A</v>
      </c>
      <c r="Q205" s="577" t="str">
        <f>IF(VLOOKUP($A205,'Pre-Assessment Estimator'!$A$10:$Z$226,Q$2,FALSE)=0,"",VLOOKUP($A205,'Pre-Assessment Estimator'!$A$10:$Z$226,Q$2,FALSE))</f>
        <v/>
      </c>
      <c r="R205" s="577" t="str">
        <f>IF(VLOOKUP($A205,'Pre-Assessment Estimator'!$A$10:$Z$226,R$2,FALSE)=0,"",VLOOKUP($A205,'Pre-Assessment Estimator'!$A$10:$Z$226,R$2,FALSE))</f>
        <v/>
      </c>
      <c r="S205" s="578" t="str">
        <f>IF(VLOOKUP($A205,'Pre-Assessment Estimator'!$A$10:$Z$226,S$2,FALSE)=0,"",VLOOKUP($A205,'Pre-Assessment Estimator'!$A$10:$Z$226,S$2,FALSE))</f>
        <v/>
      </c>
      <c r="T205" s="581"/>
      <c r="U205" s="580" t="str">
        <f>IF(VLOOKUP($A205,'Pre-Assessment Estimator'!$A$10:$Z$226,U$2,FALSE)=0,"",VLOOKUP($A205,'Pre-Assessment Estimator'!$A$10:$Z$226,U$2,FALSE))</f>
        <v/>
      </c>
      <c r="V205" s="575">
        <f>VLOOKUP($A205,'Pre-Assessment Estimator'!$A$10:$Z$226,V$2,FALSE)</f>
        <v>0</v>
      </c>
      <c r="W205" s="574" t="str">
        <f>VLOOKUP($A205,'Pre-Assessment Estimator'!$A$10:$Z$226,W$2,FALSE)</f>
        <v>N/A</v>
      </c>
      <c r="X205" s="577" t="str">
        <f>IF(VLOOKUP($A205,'Pre-Assessment Estimator'!$A$10:$Z$226,X$2,FALSE)=0,"",VLOOKUP($A205,'Pre-Assessment Estimator'!$A$10:$Z$226,X$2,FALSE))</f>
        <v/>
      </c>
      <c r="Y205" s="577" t="str">
        <f>IF(VLOOKUP($A205,'Pre-Assessment Estimator'!$A$10:$Z$226,Y$2,FALSE)=0,"",VLOOKUP($A205,'Pre-Assessment Estimator'!$A$10:$Z$226,Y$2,FALSE))</f>
        <v/>
      </c>
      <c r="Z205" s="370" t="str">
        <f>IF(VLOOKUP($A205,'Pre-Assessment Estimator'!$A$10:$Z$226,Z$2,FALSE)=0,"",VLOOKUP($A205,'Pre-Assessment Estimator'!$A$10:$Z$226,Z$2,FALSE))</f>
        <v/>
      </c>
      <c r="AA205" s="696">
        <v>194</v>
      </c>
      <c r="AB205" s="577"/>
      <c r="AF205" s="386">
        <f t="shared" si="3"/>
        <v>2</v>
      </c>
    </row>
    <row r="206" spans="1:32" x14ac:dyDescent="0.25">
      <c r="A206" s="823">
        <v>197</v>
      </c>
      <c r="B206" s="1234" t="s">
        <v>71</v>
      </c>
      <c r="C206" s="1234"/>
      <c r="D206" s="1256" t="str">
        <f>VLOOKUP($A206,'Pre-Assessment Estimator'!$A$10:$Z$226,D$2,FALSE)</f>
        <v>POL 05</v>
      </c>
      <c r="E206" s="1256" t="str">
        <f>VLOOKUP($A206,'Pre-Assessment Estimator'!$A$10:$Z$226,E$2,FALSE)</f>
        <v>POL 05 Reduction of noise pollution</v>
      </c>
      <c r="F206" s="574">
        <f>VLOOKUP($A206,'Pre-Assessment Estimator'!$A$10:$Z$226,F$2,FALSE)</f>
        <v>1</v>
      </c>
      <c r="G206" s="580" t="str">
        <f>IF(VLOOKUP($A206,'Pre-Assessment Estimator'!$A$10:$Z$226,G$2,FALSE)=0,"",VLOOKUP($A206,'Pre-Assessment Estimator'!$A$10:$Z$226,G$2,FALSE))</f>
        <v/>
      </c>
      <c r="H206" s="1220" t="str">
        <f>VLOOKUP($A206,'Pre-Assessment Estimator'!$A$10:$Z$226,H$2,FALSE)</f>
        <v>0 c. 0 %</v>
      </c>
      <c r="I206" s="576" t="str">
        <f>VLOOKUP($A206,'Pre-Assessment Estimator'!$A$10:$Z$226,I$2,FALSE)</f>
        <v>N/A</v>
      </c>
      <c r="J206" s="577" t="str">
        <f>IF(VLOOKUP($A206,'Pre-Assessment Estimator'!$A$10:$Z$226,J$2,FALSE)=0,"",VLOOKUP($A206,'Pre-Assessment Estimator'!$A$10:$Z$226,J$2,FALSE))</f>
        <v/>
      </c>
      <c r="K206" s="577" t="str">
        <f>IF(VLOOKUP($A206,'Pre-Assessment Estimator'!$A$10:$Z$226,K$2,FALSE)=0,"",VLOOKUP($A206,'Pre-Assessment Estimator'!$A$10:$Z$226,K$2,FALSE))</f>
        <v/>
      </c>
      <c r="L206" s="578" t="str">
        <f>IF(VLOOKUP($A206,'Pre-Assessment Estimator'!$A$10:$Z$226,L$2,FALSE)=0,"",VLOOKUP($A206,'Pre-Assessment Estimator'!$A$10:$Z$226,L$2,FALSE))</f>
        <v/>
      </c>
      <c r="M206" s="579"/>
      <c r="N206" s="580" t="str">
        <f>IF(VLOOKUP($A206,'Pre-Assessment Estimator'!$A$10:$Z$226,N$2,FALSE)=0,"",VLOOKUP($A206,'Pre-Assessment Estimator'!$A$10:$Z$226,N$2,FALSE))</f>
        <v/>
      </c>
      <c r="O206" s="575" t="str">
        <f>VLOOKUP($A206,'Pre-Assessment Estimator'!$A$10:$Z$226,O$2,FALSE)</f>
        <v>0 c. 0 %</v>
      </c>
      <c r="P206" s="574" t="str">
        <f>VLOOKUP($A206,'Pre-Assessment Estimator'!$A$10:$Z$226,P$2,FALSE)</f>
        <v>N/A</v>
      </c>
      <c r="Q206" s="577" t="str">
        <f>IF(VLOOKUP($A206,'Pre-Assessment Estimator'!$A$10:$Z$226,Q$2,FALSE)=0,"",VLOOKUP($A206,'Pre-Assessment Estimator'!$A$10:$Z$226,Q$2,FALSE))</f>
        <v/>
      </c>
      <c r="R206" s="577" t="str">
        <f>IF(VLOOKUP($A206,'Pre-Assessment Estimator'!$A$10:$Z$226,R$2,FALSE)=0,"",VLOOKUP($A206,'Pre-Assessment Estimator'!$A$10:$Z$226,R$2,FALSE))</f>
        <v/>
      </c>
      <c r="S206" s="578" t="str">
        <f>IF(VLOOKUP($A206,'Pre-Assessment Estimator'!$A$10:$Z$226,S$2,FALSE)=0,"",VLOOKUP($A206,'Pre-Assessment Estimator'!$A$10:$Z$226,S$2,FALSE))</f>
        <v/>
      </c>
      <c r="T206" s="581"/>
      <c r="U206" s="580" t="str">
        <f>IF(VLOOKUP($A206,'Pre-Assessment Estimator'!$A$10:$Z$226,U$2,FALSE)=0,"",VLOOKUP($A206,'Pre-Assessment Estimator'!$A$10:$Z$226,U$2,FALSE))</f>
        <v/>
      </c>
      <c r="V206" s="575" t="str">
        <f>VLOOKUP($A206,'Pre-Assessment Estimator'!$A$10:$Z$226,V$2,FALSE)</f>
        <v>0 c. 0 %</v>
      </c>
      <c r="W206" s="574" t="str">
        <f>VLOOKUP($A206,'Pre-Assessment Estimator'!$A$10:$Z$226,W$2,FALSE)</f>
        <v>N/A</v>
      </c>
      <c r="X206" s="577" t="str">
        <f>IF(VLOOKUP($A206,'Pre-Assessment Estimator'!$A$10:$Z$226,X$2,FALSE)=0,"",VLOOKUP($A206,'Pre-Assessment Estimator'!$A$10:$Z$226,X$2,FALSE))</f>
        <v/>
      </c>
      <c r="Y206" s="577" t="str">
        <f>IF(VLOOKUP($A206,'Pre-Assessment Estimator'!$A$10:$Z$226,Y$2,FALSE)=0,"",VLOOKUP($A206,'Pre-Assessment Estimator'!$A$10:$Z$226,Y$2,FALSE))</f>
        <v/>
      </c>
      <c r="Z206" s="370" t="str">
        <f>IF(VLOOKUP($A206,'Pre-Assessment Estimator'!$A$10:$Z$226,Z$2,FALSE)=0,"",VLOOKUP($A206,'Pre-Assessment Estimator'!$A$10:$Z$226,Z$2,FALSE))</f>
        <v/>
      </c>
      <c r="AA206" s="696">
        <v>195</v>
      </c>
      <c r="AB206" s="577" t="str">
        <f>IF(VLOOKUP($A206,'Pre-Assessment Estimator'!$A$10:$AB$226,AB$2,FALSE)=0,"",VLOOKUP($A206,'Pre-Assessment Estimator'!$A$10:$AB$226,AB$2,FALSE))</f>
        <v/>
      </c>
      <c r="AF206" s="386">
        <f t="shared" si="3"/>
        <v>1</v>
      </c>
    </row>
    <row r="207" spans="1:32" x14ac:dyDescent="0.25">
      <c r="A207" s="823">
        <v>198</v>
      </c>
      <c r="B207" s="1234" t="s">
        <v>71</v>
      </c>
      <c r="C207" s="1234"/>
      <c r="D207" s="1257" t="str">
        <f>VLOOKUP($A207,'Pre-Assessment Estimator'!$A$10:$Z$226,D$2,FALSE)</f>
        <v>POL 05</v>
      </c>
      <c r="E207" s="1257" t="str">
        <f>VLOOKUP($A207,'Pre-Assessment Estimator'!$A$10:$Z$226,E$2,FALSE)</f>
        <v>No noise-sensitive areas</v>
      </c>
      <c r="F207" s="574">
        <f>VLOOKUP($A207,'Pre-Assessment Estimator'!$A$10:$Z$226,F$2,FALSE)</f>
        <v>1</v>
      </c>
      <c r="G207" s="580" t="str">
        <f>IF(VLOOKUP($A207,'Pre-Assessment Estimator'!$A$10:$Z$226,G$2,FALSE)=0,"",VLOOKUP($A207,'Pre-Assessment Estimator'!$A$10:$Z$226,G$2,FALSE))</f>
        <v/>
      </c>
      <c r="H207" s="1220">
        <f>VLOOKUP($A207,'Pre-Assessment Estimator'!$A$10:$Z$226,H$2,FALSE)</f>
        <v>0</v>
      </c>
      <c r="I207" s="576" t="str">
        <f>VLOOKUP($A207,'Pre-Assessment Estimator'!$A$10:$Z$226,I$2,FALSE)</f>
        <v>N/A</v>
      </c>
      <c r="J207" s="577" t="str">
        <f>IF(VLOOKUP($A207,'Pre-Assessment Estimator'!$A$10:$Z$226,J$2,FALSE)=0,"",VLOOKUP($A207,'Pre-Assessment Estimator'!$A$10:$Z$226,J$2,FALSE))</f>
        <v/>
      </c>
      <c r="K207" s="577" t="str">
        <f>IF(VLOOKUP($A207,'Pre-Assessment Estimator'!$A$10:$Z$226,K$2,FALSE)=0,"",VLOOKUP($A207,'Pre-Assessment Estimator'!$A$10:$Z$226,K$2,FALSE))</f>
        <v/>
      </c>
      <c r="L207" s="578" t="str">
        <f>IF(VLOOKUP($A207,'Pre-Assessment Estimator'!$A$10:$Z$226,L$2,FALSE)=0,"",VLOOKUP($A207,'Pre-Assessment Estimator'!$A$10:$Z$226,L$2,FALSE))</f>
        <v/>
      </c>
      <c r="M207" s="579"/>
      <c r="N207" s="580" t="str">
        <f>IF(VLOOKUP($A207,'Pre-Assessment Estimator'!$A$10:$Z$226,N$2,FALSE)=0,"",VLOOKUP($A207,'Pre-Assessment Estimator'!$A$10:$Z$226,N$2,FALSE))</f>
        <v/>
      </c>
      <c r="O207" s="575">
        <f>VLOOKUP($A207,'Pre-Assessment Estimator'!$A$10:$Z$226,O$2,FALSE)</f>
        <v>0</v>
      </c>
      <c r="P207" s="574" t="str">
        <f>VLOOKUP($A207,'Pre-Assessment Estimator'!$A$10:$Z$226,P$2,FALSE)</f>
        <v>N/A</v>
      </c>
      <c r="Q207" s="577" t="str">
        <f>IF(VLOOKUP($A207,'Pre-Assessment Estimator'!$A$10:$Z$226,Q$2,FALSE)=0,"",VLOOKUP($A207,'Pre-Assessment Estimator'!$A$10:$Z$226,Q$2,FALSE))</f>
        <v/>
      </c>
      <c r="R207" s="577" t="str">
        <f>IF(VLOOKUP($A207,'Pre-Assessment Estimator'!$A$10:$Z$226,R$2,FALSE)=0,"",VLOOKUP($A207,'Pre-Assessment Estimator'!$A$10:$Z$226,R$2,FALSE))</f>
        <v/>
      </c>
      <c r="S207" s="578" t="str">
        <f>IF(VLOOKUP($A207,'Pre-Assessment Estimator'!$A$10:$Z$226,S$2,FALSE)=0,"",VLOOKUP($A207,'Pre-Assessment Estimator'!$A$10:$Z$226,S$2,FALSE))</f>
        <v/>
      </c>
      <c r="T207" s="581"/>
      <c r="U207" s="580" t="str">
        <f>IF(VLOOKUP($A207,'Pre-Assessment Estimator'!$A$10:$Z$226,U$2,FALSE)=0,"",VLOOKUP($A207,'Pre-Assessment Estimator'!$A$10:$Z$226,U$2,FALSE))</f>
        <v/>
      </c>
      <c r="V207" s="575">
        <f>VLOOKUP($A207,'Pre-Assessment Estimator'!$A$10:$Z$226,V$2,FALSE)</f>
        <v>0</v>
      </c>
      <c r="W207" s="574" t="str">
        <f>VLOOKUP($A207,'Pre-Assessment Estimator'!$A$10:$Z$226,W$2,FALSE)</f>
        <v>N/A</v>
      </c>
      <c r="X207" s="577" t="str">
        <f>IF(VLOOKUP($A207,'Pre-Assessment Estimator'!$A$10:$Z$226,X$2,FALSE)=0,"",VLOOKUP($A207,'Pre-Assessment Estimator'!$A$10:$Z$226,X$2,FALSE))</f>
        <v/>
      </c>
      <c r="Y207" s="577" t="str">
        <f>IF(VLOOKUP($A207,'Pre-Assessment Estimator'!$A$10:$Z$226,Y$2,FALSE)=0,"",VLOOKUP($A207,'Pre-Assessment Estimator'!$A$10:$Z$226,Y$2,FALSE))</f>
        <v/>
      </c>
      <c r="Z207" s="370" t="str">
        <f>IF(VLOOKUP($A207,'Pre-Assessment Estimator'!$A$10:$Z$226,Z$2,FALSE)=0,"",VLOOKUP($A207,'Pre-Assessment Estimator'!$A$10:$Z$226,Z$2,FALSE))</f>
        <v/>
      </c>
      <c r="AA207" s="696">
        <v>196</v>
      </c>
      <c r="AB207" s="585"/>
      <c r="AC207" s="389"/>
      <c r="AD207" s="389"/>
      <c r="AE207" s="389"/>
      <c r="AF207" s="386">
        <f t="shared" si="3"/>
        <v>1</v>
      </c>
    </row>
    <row r="208" spans="1:32" x14ac:dyDescent="0.25">
      <c r="A208" s="823">
        <v>199</v>
      </c>
      <c r="B208" s="1234" t="s">
        <v>217</v>
      </c>
      <c r="C208" s="1234"/>
      <c r="D208" s="1257" t="str">
        <f>VLOOKUP($A208,'Pre-Assessment Estimator'!$A$10:$Z$226,D$2,FALSE)</f>
        <v>POL 05</v>
      </c>
      <c r="E208" s="1257" t="str">
        <f>VLOOKUP($A208,'Pre-Assessment Estimator'!$A$10:$Z$226,E$2,FALSE)</f>
        <v>Minimizing noise pollution in noise-sensitive areas</v>
      </c>
      <c r="F208" s="574">
        <f>VLOOKUP($A208,'Pre-Assessment Estimator'!$A$10:$Z$226,F$2,FALSE)</f>
        <v>0</v>
      </c>
      <c r="G208" s="580" t="str">
        <f>IF(VLOOKUP($A208,'Pre-Assessment Estimator'!$A$10:$Z$226,G$2,FALSE)=0,"",VLOOKUP($A208,'Pre-Assessment Estimator'!$A$10:$Z$226,G$2,FALSE))</f>
        <v/>
      </c>
      <c r="H208" s="1220">
        <f>VLOOKUP($A208,'Pre-Assessment Estimator'!$A$10:$Z$226,H$2,FALSE)</f>
        <v>0</v>
      </c>
      <c r="I208" s="576" t="str">
        <f>VLOOKUP($A208,'Pre-Assessment Estimator'!$A$10:$Z$226,I$2,FALSE)</f>
        <v>N/A</v>
      </c>
      <c r="J208" s="577" t="str">
        <f>IF(VLOOKUP($A208,'Pre-Assessment Estimator'!$A$10:$Z$226,J$2,FALSE)=0,"",VLOOKUP($A208,'Pre-Assessment Estimator'!$A$10:$Z$226,J$2,FALSE))</f>
        <v/>
      </c>
      <c r="K208" s="577" t="str">
        <f>IF(VLOOKUP($A208,'Pre-Assessment Estimator'!$A$10:$Z$226,K$2,FALSE)=0,"",VLOOKUP($A208,'Pre-Assessment Estimator'!$A$10:$Z$226,K$2,FALSE))</f>
        <v/>
      </c>
      <c r="L208" s="578" t="str">
        <f>IF(VLOOKUP($A208,'Pre-Assessment Estimator'!$A$10:$Z$226,L$2,FALSE)=0,"",VLOOKUP($A208,'Pre-Assessment Estimator'!$A$10:$Z$226,L$2,FALSE))</f>
        <v/>
      </c>
      <c r="M208" s="579"/>
      <c r="N208" s="580" t="str">
        <f>IF(VLOOKUP($A208,'Pre-Assessment Estimator'!$A$10:$Z$226,N$2,FALSE)=0,"",VLOOKUP($A208,'Pre-Assessment Estimator'!$A$10:$Z$226,N$2,FALSE))</f>
        <v/>
      </c>
      <c r="O208" s="575">
        <f>VLOOKUP($A208,'Pre-Assessment Estimator'!$A$10:$Z$226,O$2,FALSE)</f>
        <v>0</v>
      </c>
      <c r="P208" s="574" t="str">
        <f>VLOOKUP($A208,'Pre-Assessment Estimator'!$A$10:$Z$226,P$2,FALSE)</f>
        <v>N/A</v>
      </c>
      <c r="Q208" s="577" t="str">
        <f>IF(VLOOKUP($A208,'Pre-Assessment Estimator'!$A$10:$Z$226,Q$2,FALSE)=0,"",VLOOKUP($A208,'Pre-Assessment Estimator'!$A$10:$Z$226,Q$2,FALSE))</f>
        <v/>
      </c>
      <c r="R208" s="577" t="str">
        <f>IF(VLOOKUP($A208,'Pre-Assessment Estimator'!$A$10:$Z$226,R$2,FALSE)=0,"",VLOOKUP($A208,'Pre-Assessment Estimator'!$A$10:$Z$226,R$2,FALSE))</f>
        <v/>
      </c>
      <c r="S208" s="578" t="str">
        <f>IF(VLOOKUP($A208,'Pre-Assessment Estimator'!$A$10:$Z$226,S$2,FALSE)=0,"",VLOOKUP($A208,'Pre-Assessment Estimator'!$A$10:$Z$226,S$2,FALSE))</f>
        <v/>
      </c>
      <c r="T208" s="581"/>
      <c r="U208" s="580" t="str">
        <f>IF(VLOOKUP($A208,'Pre-Assessment Estimator'!$A$10:$Z$226,U$2,FALSE)=0,"",VLOOKUP($A208,'Pre-Assessment Estimator'!$A$10:$Z$226,U$2,FALSE))</f>
        <v/>
      </c>
      <c r="V208" s="575">
        <f>VLOOKUP($A208,'Pre-Assessment Estimator'!$A$10:$Z$226,V$2,FALSE)</f>
        <v>0</v>
      </c>
      <c r="W208" s="574" t="str">
        <f>VLOOKUP($A208,'Pre-Assessment Estimator'!$A$10:$Z$226,W$2,FALSE)</f>
        <v>N/A</v>
      </c>
      <c r="X208" s="577" t="str">
        <f>IF(VLOOKUP($A208,'Pre-Assessment Estimator'!$A$10:$Z$226,X$2,FALSE)=0,"",VLOOKUP($A208,'Pre-Assessment Estimator'!$A$10:$Z$226,X$2,FALSE))</f>
        <v/>
      </c>
      <c r="Y208" s="577" t="str">
        <f>IF(VLOOKUP($A208,'Pre-Assessment Estimator'!$A$10:$Z$226,Y$2,FALSE)=0,"",VLOOKUP($A208,'Pre-Assessment Estimator'!$A$10:$Z$226,Y$2,FALSE))</f>
        <v/>
      </c>
      <c r="Z208" s="370" t="str">
        <f>IF(VLOOKUP($A208,'Pre-Assessment Estimator'!$A$10:$Z$226,Z$2,FALSE)=0,"",VLOOKUP($A208,'Pre-Assessment Estimator'!$A$10:$Z$226,Z$2,FALSE))</f>
        <v/>
      </c>
      <c r="AA208" s="696">
        <v>197</v>
      </c>
      <c r="AB208" s="697"/>
      <c r="AF208" s="386">
        <f t="shared" si="3"/>
        <v>2</v>
      </c>
    </row>
    <row r="209" spans="1:32" ht="30" customHeight="1" thickBot="1" x14ac:dyDescent="0.3">
      <c r="A209" s="823">
        <v>200</v>
      </c>
      <c r="B209" s="1234" t="s">
        <v>217</v>
      </c>
      <c r="C209" s="1234"/>
      <c r="D209" s="1259"/>
      <c r="E209" s="1259" t="str">
        <f>VLOOKUP($A209,'Pre-Assessment Estimator'!$A$10:$Z$226,E$2,FALSE)</f>
        <v>Total performance pollution</v>
      </c>
      <c r="F209" s="582">
        <f>VLOOKUP($A209,'Pre-Assessment Estimator'!$A$10:$Z$226,F$2,FALSE)</f>
        <v>7</v>
      </c>
      <c r="G209" s="584" t="str">
        <f>IF(VLOOKUP($A209,'Pre-Assessment Estimator'!$A$10:$Z$226,G$2,FALSE)=0,"",VLOOKUP($A209,'Pre-Assessment Estimator'!$A$10:$Z$226,G$2,FALSE))</f>
        <v/>
      </c>
      <c r="H209" s="583">
        <f>VLOOKUP($A209,'Pre-Assessment Estimator'!$A$10:$Z$226,H$2,FALSE)</f>
        <v>0</v>
      </c>
      <c r="I209" s="582" t="str">
        <f>VLOOKUP($A209,'Pre-Assessment Estimator'!$A$10:$Z$226,I$2,FALSE)</f>
        <v>Credits achieved: 0</v>
      </c>
      <c r="J209" s="1202" t="str">
        <f>IF(VLOOKUP($A209,'Pre-Assessment Estimator'!$A$10:$Z$226,J$2,FALSE)=0,"",VLOOKUP($A209,'Pre-Assessment Estimator'!$A$10:$Z$226,J$2,FALSE))</f>
        <v/>
      </c>
      <c r="K209" s="1202" t="str">
        <f>IF(VLOOKUP($A209,'Pre-Assessment Estimator'!$A$10:$Z$226,K$2,FALSE)=0,"",VLOOKUP($A209,'Pre-Assessment Estimator'!$A$10:$Z$226,K$2,FALSE))</f>
        <v/>
      </c>
      <c r="L209" s="1221" t="str">
        <f>IF(VLOOKUP($A209,'Pre-Assessment Estimator'!$A$10:$Z$226,L$2,FALSE)=0,"",VLOOKUP($A209,'Pre-Assessment Estimator'!$A$10:$Z$226,L$2,FALSE))</f>
        <v/>
      </c>
      <c r="M209" s="1222"/>
      <c r="N209" s="584" t="str">
        <f>IF(VLOOKUP($A209,'Pre-Assessment Estimator'!$A$10:$Z$226,N$2,FALSE)=0,"",VLOOKUP($A209,'Pre-Assessment Estimator'!$A$10:$Z$226,N$2,FALSE))</f>
        <v/>
      </c>
      <c r="O209" s="583">
        <f>VLOOKUP($A209,'Pre-Assessment Estimator'!$A$10:$Z$226,O$2,FALSE)</f>
        <v>0</v>
      </c>
      <c r="P209" s="582" t="str">
        <f>VLOOKUP($A209,'Pre-Assessment Estimator'!$A$10:$Z$226,P$2,FALSE)</f>
        <v>Credits achieved: 0</v>
      </c>
      <c r="Q209" s="1202" t="str">
        <f>IF(VLOOKUP($A209,'Pre-Assessment Estimator'!$A$10:$Z$226,Q$2,FALSE)=0,"",VLOOKUP($A209,'Pre-Assessment Estimator'!$A$10:$Z$226,Q$2,FALSE))</f>
        <v/>
      </c>
      <c r="R209" s="1202" t="str">
        <f>IF(VLOOKUP($A209,'Pre-Assessment Estimator'!$A$10:$Z$226,R$2,FALSE)=0,"",VLOOKUP($A209,'Pre-Assessment Estimator'!$A$10:$Z$226,R$2,FALSE))</f>
        <v/>
      </c>
      <c r="S209" s="1221" t="str">
        <f>IF(VLOOKUP($A209,'Pre-Assessment Estimator'!$A$10:$Z$226,S$2,FALSE)=0,"",VLOOKUP($A209,'Pre-Assessment Estimator'!$A$10:$Z$226,S$2,FALSE))</f>
        <v/>
      </c>
      <c r="T209" s="1223"/>
      <c r="U209" s="584" t="str">
        <f>IF(VLOOKUP($A209,'Pre-Assessment Estimator'!$A$10:$Z$226,U$2,FALSE)=0,"",VLOOKUP($A209,'Pre-Assessment Estimator'!$A$10:$Z$226,U$2,FALSE))</f>
        <v/>
      </c>
      <c r="V209" s="583">
        <f>VLOOKUP($A209,'Pre-Assessment Estimator'!$A$10:$Z$226,V$2,FALSE)</f>
        <v>0</v>
      </c>
      <c r="W209" s="582" t="str">
        <f>VLOOKUP($A209,'Pre-Assessment Estimator'!$A$10:$Z$226,W$2,FALSE)</f>
        <v>Credits achieved: 0</v>
      </c>
      <c r="X209" s="1202" t="str">
        <f>IF(VLOOKUP($A209,'Pre-Assessment Estimator'!$A$10:$Z$226,X$2,FALSE)=0,"",VLOOKUP($A209,'Pre-Assessment Estimator'!$A$10:$Z$226,X$2,FALSE))</f>
        <v/>
      </c>
      <c r="Y209" s="1202" t="str">
        <f>IF(VLOOKUP($A209,'Pre-Assessment Estimator'!$A$10:$Z$226,Y$2,FALSE)=0,"",VLOOKUP($A209,'Pre-Assessment Estimator'!$A$10:$Z$226,Y$2,FALSE))</f>
        <v/>
      </c>
      <c r="Z209" s="1224" t="str">
        <f>IF(VLOOKUP($A209,'Pre-Assessment Estimator'!$A$10:$Z$226,Z$2,FALSE)=0,"",VLOOKUP($A209,'Pre-Assessment Estimator'!$A$10:$Z$226,Z$2,FALSE))</f>
        <v/>
      </c>
      <c r="AA209" s="696">
        <v>198</v>
      </c>
      <c r="AB209" s="577" t="str">
        <f>IF(VLOOKUP($A209,'Pre-Assessment Estimator'!$A$10:$AB$226,AB$2,FALSE)=0,"",VLOOKUP($A209,'Pre-Assessment Estimator'!$A$10:$AB$226,AB$2,FALSE))</f>
        <v/>
      </c>
      <c r="AF209" s="386">
        <f t="shared" si="3"/>
        <v>1</v>
      </c>
    </row>
    <row r="210" spans="1:32" x14ac:dyDescent="0.25">
      <c r="A210" s="823">
        <v>201</v>
      </c>
      <c r="B210" s="1234" t="s">
        <v>217</v>
      </c>
      <c r="C210" s="1234"/>
      <c r="D210" s="585"/>
      <c r="E210" s="585"/>
      <c r="F210" s="586"/>
      <c r="G210" s="586"/>
      <c r="H210" s="586"/>
      <c r="I210" s="586"/>
      <c r="J210" s="585"/>
      <c r="K210" s="586"/>
      <c r="L210" s="585"/>
      <c r="M210" s="579"/>
      <c r="N210" s="586"/>
      <c r="O210" s="586"/>
      <c r="P210" s="586"/>
      <c r="Q210" s="585"/>
      <c r="R210" s="586"/>
      <c r="S210" s="585"/>
      <c r="T210" s="581"/>
      <c r="U210" s="586"/>
      <c r="V210" s="586"/>
      <c r="W210" s="586"/>
      <c r="X210" s="585"/>
      <c r="Y210" s="586"/>
      <c r="Z210" s="343"/>
      <c r="AA210" s="696">
        <v>199</v>
      </c>
      <c r="AB210" s="577" t="str">
        <f>IF(VLOOKUP($A210,'Pre-Assessment Estimator'!$A$10:$AB$226,AB$2,FALSE)=0,"",VLOOKUP($A210,'Pre-Assessment Estimator'!$A$10:$AB$226,AB$2,FALSE))</f>
        <v/>
      </c>
      <c r="AF210" s="386">
        <f t="shared" si="3"/>
        <v>1</v>
      </c>
    </row>
    <row r="211" spans="1:32" ht="18.75" x14ac:dyDescent="0.25">
      <c r="A211" s="823">
        <v>202</v>
      </c>
      <c r="B211" s="1234" t="s">
        <v>217</v>
      </c>
      <c r="C211" s="1234"/>
      <c r="D211" s="587"/>
      <c r="E211" s="587" t="s">
        <v>395</v>
      </c>
      <c r="F211" s="570"/>
      <c r="G211" s="570"/>
      <c r="H211" s="570"/>
      <c r="I211" s="570"/>
      <c r="J211" s="571"/>
      <c r="K211" s="570"/>
      <c r="L211" s="571"/>
      <c r="M211" s="579"/>
      <c r="N211" s="570"/>
      <c r="O211" s="570"/>
      <c r="P211" s="570"/>
      <c r="Q211" s="571"/>
      <c r="R211" s="570"/>
      <c r="S211" s="571"/>
      <c r="T211" s="581"/>
      <c r="U211" s="570"/>
      <c r="V211" s="570"/>
      <c r="W211" s="570"/>
      <c r="X211" s="571"/>
      <c r="Y211" s="570"/>
      <c r="Z211" s="411"/>
      <c r="AA211" s="696">
        <v>200</v>
      </c>
      <c r="AB211" s="577" t="str">
        <f>IF(VLOOKUP($A211,'Pre-Assessment Estimator'!$A$10:$AB$226,AB$2,FALSE)=0,"",VLOOKUP($A211,'Pre-Assessment Estimator'!$A$10:$AB$226,AB$2,FALSE))</f>
        <v/>
      </c>
      <c r="AF211" s="386">
        <f t="shared" ref="AF211:AF223" si="5">IF(F211="",1,IF(F211=0,2,1))</f>
        <v>1</v>
      </c>
    </row>
    <row r="212" spans="1:32" x14ac:dyDescent="0.25">
      <c r="A212" s="823">
        <v>203</v>
      </c>
      <c r="B212" s="1234" t="s">
        <v>217</v>
      </c>
      <c r="C212" s="1234"/>
      <c r="D212" s="1261" t="str">
        <f>VLOOKUP($A212,'Pre-Assessment Estimator'!$A$10:$Z$226,D$2,FALSE)</f>
        <v>Exemplary Level</v>
      </c>
      <c r="E212" s="1257" t="str">
        <f>VLOOKUP($A212,'Pre-Assessment Estimator'!$A$10:$Z$226,E$2,FALSE)</f>
        <v xml:space="preserve">Inn 01 - Man 03: Reduction of direct emissions from construction sites </v>
      </c>
      <c r="F212" s="574">
        <f>VLOOKUP($A212,'Pre-Assessment Estimator'!$A$10:$Z$226,F$2,FALSE)</f>
        <v>1</v>
      </c>
      <c r="G212" s="580" t="str">
        <f>IF(VLOOKUP($A212,'Pre-Assessment Estimator'!$A$10:$Z$226,G$2,FALSE)=0,"",VLOOKUP($A212,'Pre-Assessment Estimator'!$A$10:$Z$226,G$2,FALSE))</f>
        <v/>
      </c>
      <c r="H212" s="1220">
        <f>VLOOKUP($A212,'Pre-Assessment Estimator'!$A$10:$Z$226,H$2,FALSE)</f>
        <v>0</v>
      </c>
      <c r="I212" s="576" t="str">
        <f>VLOOKUP($A212,'Pre-Assessment Estimator'!$A$10:$Z$226,I$2,FALSE)</f>
        <v>N/A</v>
      </c>
      <c r="J212" s="577" t="str">
        <f>IF(VLOOKUP($A212,'Pre-Assessment Estimator'!$A$10:$Z$226,J$2,FALSE)=0,"",VLOOKUP($A212,'Pre-Assessment Estimator'!$A$10:$Z$226,J$2,FALSE))</f>
        <v/>
      </c>
      <c r="K212" s="577" t="str">
        <f>IF(VLOOKUP($A212,'Pre-Assessment Estimator'!$A$10:$Z$226,K$2,FALSE)=0,"",VLOOKUP($A212,'Pre-Assessment Estimator'!$A$10:$Z$226,K$2,FALSE))</f>
        <v/>
      </c>
      <c r="L212" s="578" t="str">
        <f>IF(VLOOKUP($A212,'Pre-Assessment Estimator'!$A$10:$Z$226,L$2,FALSE)=0,"",VLOOKUP($A212,'Pre-Assessment Estimator'!$A$10:$Z$226,L$2,FALSE))</f>
        <v/>
      </c>
      <c r="M212" s="579"/>
      <c r="N212" s="580" t="str">
        <f>IF(VLOOKUP($A212,'Pre-Assessment Estimator'!$A$10:$Z$226,N$2,FALSE)=0,"",VLOOKUP($A212,'Pre-Assessment Estimator'!$A$10:$Z$226,N$2,FALSE))</f>
        <v/>
      </c>
      <c r="O212" s="575">
        <f>VLOOKUP($A212,'Pre-Assessment Estimator'!$A$10:$Z$226,O$2,FALSE)</f>
        <v>0</v>
      </c>
      <c r="P212" s="574" t="str">
        <f>VLOOKUP($A212,'Pre-Assessment Estimator'!$A$10:$Z$226,P$2,FALSE)</f>
        <v>N/A</v>
      </c>
      <c r="Q212" s="577" t="str">
        <f>IF(VLOOKUP($A212,'Pre-Assessment Estimator'!$A$10:$Z$226,Q$2,FALSE)=0,"",VLOOKUP($A212,'Pre-Assessment Estimator'!$A$10:$Z$226,Q$2,FALSE))</f>
        <v/>
      </c>
      <c r="R212" s="577" t="str">
        <f>IF(VLOOKUP($A212,'Pre-Assessment Estimator'!$A$10:$Z$226,R$2,FALSE)=0,"",VLOOKUP($A212,'Pre-Assessment Estimator'!$A$10:$Z$226,R$2,FALSE))</f>
        <v/>
      </c>
      <c r="S212" s="578" t="str">
        <f>IF(VLOOKUP($A212,'Pre-Assessment Estimator'!$A$10:$Z$226,S$2,FALSE)=0,"",VLOOKUP($A212,'Pre-Assessment Estimator'!$A$10:$Z$226,S$2,FALSE))</f>
        <v/>
      </c>
      <c r="T212" s="581"/>
      <c r="U212" s="580" t="str">
        <f>IF(VLOOKUP($A212,'Pre-Assessment Estimator'!$A$10:$Z$226,U$2,FALSE)=0,"",VLOOKUP($A212,'Pre-Assessment Estimator'!$A$10:$Z$226,U$2,FALSE))</f>
        <v/>
      </c>
      <c r="V212" s="575">
        <f>VLOOKUP($A212,'Pre-Assessment Estimator'!$A$10:$Z$226,V$2,FALSE)</f>
        <v>0</v>
      </c>
      <c r="W212" s="574" t="str">
        <f>VLOOKUP($A212,'Pre-Assessment Estimator'!$A$10:$Z$226,W$2,FALSE)</f>
        <v>N/A</v>
      </c>
      <c r="X212" s="577" t="str">
        <f>IF(VLOOKUP($A212,'Pre-Assessment Estimator'!$A$10:$Z$226,X$2,FALSE)=0,"",VLOOKUP($A212,'Pre-Assessment Estimator'!$A$10:$Z$226,X$2,FALSE))</f>
        <v/>
      </c>
      <c r="Y212" s="577" t="str">
        <f>IF(VLOOKUP($A212,'Pre-Assessment Estimator'!$A$10:$Z$226,Y$2,FALSE)=0,"",VLOOKUP($A212,'Pre-Assessment Estimator'!$A$10:$Z$226,Y$2,FALSE))</f>
        <v/>
      </c>
      <c r="Z212" s="370" t="str">
        <f>IF(VLOOKUP($A212,'Pre-Assessment Estimator'!$A$10:$Z$226,Z$2,FALSE)=0,"",VLOOKUP($A212,'Pre-Assessment Estimator'!$A$10:$Z$226,Z$2,FALSE))</f>
        <v/>
      </c>
      <c r="AA212" s="696">
        <v>201</v>
      </c>
      <c r="AB212" s="577"/>
      <c r="AF212" s="386">
        <f t="shared" si="5"/>
        <v>1</v>
      </c>
    </row>
    <row r="213" spans="1:32" x14ac:dyDescent="0.25">
      <c r="A213" s="823">
        <v>204</v>
      </c>
      <c r="B213" s="1234" t="s">
        <v>217</v>
      </c>
      <c r="C213" s="1234"/>
      <c r="D213" s="1261" t="str">
        <f>VLOOKUP($A213,'Pre-Assessment Estimator'!$A$10:$Z$226,D$2,FALSE)</f>
        <v>Exemplary Level</v>
      </c>
      <c r="E213" s="1257" t="str">
        <f>VLOOKUP($A213,'Pre-Assessment Estimator'!$A$10:$Z$226,E$2,FALSE)</f>
        <v xml:space="preserve">Inn 02 - Hea 01: View out, high level </v>
      </c>
      <c r="F213" s="574">
        <f>VLOOKUP($A213,'Pre-Assessment Estimator'!$A$10:$Z$226,F$2,FALSE)</f>
        <v>1</v>
      </c>
      <c r="G213" s="580" t="str">
        <f>IF(VLOOKUP($A213,'Pre-Assessment Estimator'!$A$10:$Z$226,G$2,FALSE)=0,"",VLOOKUP($A213,'Pre-Assessment Estimator'!$A$10:$Z$226,G$2,FALSE))</f>
        <v/>
      </c>
      <c r="H213" s="1220">
        <f>VLOOKUP($A213,'Pre-Assessment Estimator'!$A$10:$Z$226,H$2,FALSE)</f>
        <v>0</v>
      </c>
      <c r="I213" s="576" t="str">
        <f>VLOOKUP($A213,'Pre-Assessment Estimator'!$A$10:$Z$226,I$2,FALSE)</f>
        <v>N/A</v>
      </c>
      <c r="J213" s="577" t="str">
        <f>IF(VLOOKUP($A213,'Pre-Assessment Estimator'!$A$10:$Z$226,J$2,FALSE)=0,"",VLOOKUP($A213,'Pre-Assessment Estimator'!$A$10:$Z$226,J$2,FALSE))</f>
        <v/>
      </c>
      <c r="K213" s="577" t="str">
        <f>IF(VLOOKUP($A213,'Pre-Assessment Estimator'!$A$10:$Z$226,K$2,FALSE)=0,"",VLOOKUP($A213,'Pre-Assessment Estimator'!$A$10:$Z$226,K$2,FALSE))</f>
        <v/>
      </c>
      <c r="L213" s="578" t="str">
        <f>IF(VLOOKUP($A213,'Pre-Assessment Estimator'!$A$10:$Z$226,L$2,FALSE)=0,"",VLOOKUP($A213,'Pre-Assessment Estimator'!$A$10:$Z$226,L$2,FALSE))</f>
        <v/>
      </c>
      <c r="M213" s="579"/>
      <c r="N213" s="580" t="str">
        <f>IF(VLOOKUP($A213,'Pre-Assessment Estimator'!$A$10:$Z$226,N$2,FALSE)=0,"",VLOOKUP($A213,'Pre-Assessment Estimator'!$A$10:$Z$226,N$2,FALSE))</f>
        <v/>
      </c>
      <c r="O213" s="575">
        <f>VLOOKUP($A213,'Pre-Assessment Estimator'!$A$10:$Z$226,O$2,FALSE)</f>
        <v>0</v>
      </c>
      <c r="P213" s="574" t="str">
        <f>VLOOKUP($A213,'Pre-Assessment Estimator'!$A$10:$Z$226,P$2,FALSE)</f>
        <v>N/A</v>
      </c>
      <c r="Q213" s="577" t="str">
        <f>IF(VLOOKUP($A213,'Pre-Assessment Estimator'!$A$10:$Z$226,Q$2,FALSE)=0,"",VLOOKUP($A213,'Pre-Assessment Estimator'!$A$10:$Z$226,Q$2,FALSE))</f>
        <v/>
      </c>
      <c r="R213" s="577" t="str">
        <f>IF(VLOOKUP($A213,'Pre-Assessment Estimator'!$A$10:$Z$226,R$2,FALSE)=0,"",VLOOKUP($A213,'Pre-Assessment Estimator'!$A$10:$Z$226,R$2,FALSE))</f>
        <v/>
      </c>
      <c r="S213" s="578" t="str">
        <f>IF(VLOOKUP($A213,'Pre-Assessment Estimator'!$A$10:$Z$226,S$2,FALSE)=0,"",VLOOKUP($A213,'Pre-Assessment Estimator'!$A$10:$Z$226,S$2,FALSE))</f>
        <v/>
      </c>
      <c r="T213" s="581"/>
      <c r="U213" s="580" t="str">
        <f>IF(VLOOKUP($A213,'Pre-Assessment Estimator'!$A$10:$Z$226,U$2,FALSE)=0,"",VLOOKUP($A213,'Pre-Assessment Estimator'!$A$10:$Z$226,U$2,FALSE))</f>
        <v/>
      </c>
      <c r="V213" s="575">
        <f>VLOOKUP($A213,'Pre-Assessment Estimator'!$A$10:$Z$226,V$2,FALSE)</f>
        <v>0</v>
      </c>
      <c r="W213" s="574" t="str">
        <f>VLOOKUP($A213,'Pre-Assessment Estimator'!$A$10:$Z$226,W$2,FALSE)</f>
        <v>N/A</v>
      </c>
      <c r="X213" s="577" t="str">
        <f>IF(VLOOKUP($A213,'Pre-Assessment Estimator'!$A$10:$Z$226,X$2,FALSE)=0,"",VLOOKUP($A213,'Pre-Assessment Estimator'!$A$10:$Z$226,X$2,FALSE))</f>
        <v/>
      </c>
      <c r="Y213" s="577" t="str">
        <f>IF(VLOOKUP($A213,'Pre-Assessment Estimator'!$A$10:$Z$226,Y$2,FALSE)=0,"",VLOOKUP($A213,'Pre-Assessment Estimator'!$A$10:$Z$226,Y$2,FALSE))</f>
        <v/>
      </c>
      <c r="Z213" s="370" t="str">
        <f>IF(VLOOKUP($A213,'Pre-Assessment Estimator'!$A$10:$Z$226,Z$2,FALSE)=0,"",VLOOKUP($A213,'Pre-Assessment Estimator'!$A$10:$Z$226,Z$2,FALSE))</f>
        <v/>
      </c>
      <c r="AA213" s="696">
        <v>202</v>
      </c>
      <c r="AB213" s="577"/>
      <c r="AF213" s="386">
        <f t="shared" si="5"/>
        <v>1</v>
      </c>
    </row>
    <row r="214" spans="1:32" x14ac:dyDescent="0.25">
      <c r="A214" s="823">
        <v>205</v>
      </c>
      <c r="B214" s="1234" t="s">
        <v>217</v>
      </c>
      <c r="C214" s="1234"/>
      <c r="D214" s="1261" t="str">
        <f>VLOOKUP($A214,'Pre-Assessment Estimator'!$A$10:$Z$226,D$2,FALSE)</f>
        <v>Exemplary Level</v>
      </c>
      <c r="E214" s="1257" t="str">
        <f>VLOOKUP($A214,'Pre-Assessment Estimator'!$A$10:$Z$226,E$2,FALSE)</f>
        <v>Inn 03 - Hea 02: Emissions from construction products</v>
      </c>
      <c r="F214" s="574">
        <f>VLOOKUP($A214,'Pre-Assessment Estimator'!$A$10:$Z$226,F$2,FALSE)</f>
        <v>1</v>
      </c>
      <c r="G214" s="580" t="str">
        <f>IF(VLOOKUP($A214,'Pre-Assessment Estimator'!$A$10:$Z$226,G$2,FALSE)=0,"",VLOOKUP($A214,'Pre-Assessment Estimator'!$A$10:$Z$226,G$2,FALSE))</f>
        <v/>
      </c>
      <c r="H214" s="1220">
        <f>VLOOKUP($A214,'Pre-Assessment Estimator'!$A$10:$Z$226,H$2,FALSE)</f>
        <v>0</v>
      </c>
      <c r="I214" s="576" t="str">
        <f>VLOOKUP($A214,'Pre-Assessment Estimator'!$A$10:$Z$226,I$2,FALSE)</f>
        <v>N/A</v>
      </c>
      <c r="J214" s="577" t="str">
        <f>IF(VLOOKUP($A214,'Pre-Assessment Estimator'!$A$10:$Z$226,J$2,FALSE)=0,"",VLOOKUP($A214,'Pre-Assessment Estimator'!$A$10:$Z$226,J$2,FALSE))</f>
        <v/>
      </c>
      <c r="K214" s="577" t="str">
        <f>IF(VLOOKUP($A214,'Pre-Assessment Estimator'!$A$10:$Z$226,K$2,FALSE)=0,"",VLOOKUP($A214,'Pre-Assessment Estimator'!$A$10:$Z$226,K$2,FALSE))</f>
        <v/>
      </c>
      <c r="L214" s="578" t="str">
        <f>IF(VLOOKUP($A214,'Pre-Assessment Estimator'!$A$10:$Z$226,L$2,FALSE)=0,"",VLOOKUP($A214,'Pre-Assessment Estimator'!$A$10:$Z$226,L$2,FALSE))</f>
        <v/>
      </c>
      <c r="M214" s="579"/>
      <c r="N214" s="580" t="str">
        <f>IF(VLOOKUP($A214,'Pre-Assessment Estimator'!$A$10:$Z$226,N$2,FALSE)=0,"",VLOOKUP($A214,'Pre-Assessment Estimator'!$A$10:$Z$226,N$2,FALSE))</f>
        <v/>
      </c>
      <c r="O214" s="575">
        <f>VLOOKUP($A214,'Pre-Assessment Estimator'!$A$10:$Z$226,O$2,FALSE)</f>
        <v>0</v>
      </c>
      <c r="P214" s="574" t="str">
        <f>VLOOKUP($A214,'Pre-Assessment Estimator'!$A$10:$Z$226,P$2,FALSE)</f>
        <v>N/A</v>
      </c>
      <c r="Q214" s="577" t="str">
        <f>IF(VLOOKUP($A214,'Pre-Assessment Estimator'!$A$10:$Z$226,Q$2,FALSE)=0,"",VLOOKUP($A214,'Pre-Assessment Estimator'!$A$10:$Z$226,Q$2,FALSE))</f>
        <v/>
      </c>
      <c r="R214" s="577" t="str">
        <f>IF(VLOOKUP($A214,'Pre-Assessment Estimator'!$A$10:$Z$226,R$2,FALSE)=0,"",VLOOKUP($A214,'Pre-Assessment Estimator'!$A$10:$Z$226,R$2,FALSE))</f>
        <v/>
      </c>
      <c r="S214" s="578" t="str">
        <f>IF(VLOOKUP($A214,'Pre-Assessment Estimator'!$A$10:$Z$226,S$2,FALSE)=0,"",VLOOKUP($A214,'Pre-Assessment Estimator'!$A$10:$Z$226,S$2,FALSE))</f>
        <v/>
      </c>
      <c r="T214" s="581"/>
      <c r="U214" s="580" t="str">
        <f>IF(VLOOKUP($A214,'Pre-Assessment Estimator'!$A$10:$Z$226,U$2,FALSE)=0,"",VLOOKUP($A214,'Pre-Assessment Estimator'!$A$10:$Z$226,U$2,FALSE))</f>
        <v/>
      </c>
      <c r="V214" s="575">
        <f>VLOOKUP($A214,'Pre-Assessment Estimator'!$A$10:$Z$226,V$2,FALSE)</f>
        <v>0</v>
      </c>
      <c r="W214" s="574" t="str">
        <f>VLOOKUP($A214,'Pre-Assessment Estimator'!$A$10:$Z$226,W$2,FALSE)</f>
        <v>N/A</v>
      </c>
      <c r="X214" s="577" t="str">
        <f>IF(VLOOKUP($A214,'Pre-Assessment Estimator'!$A$10:$Z$226,X$2,FALSE)=0,"",VLOOKUP($A214,'Pre-Assessment Estimator'!$A$10:$Z$226,X$2,FALSE))</f>
        <v/>
      </c>
      <c r="Y214" s="577" t="str">
        <f>IF(VLOOKUP($A214,'Pre-Assessment Estimator'!$A$10:$Z$226,Y$2,FALSE)=0,"",VLOOKUP($A214,'Pre-Assessment Estimator'!$A$10:$Z$226,Y$2,FALSE))</f>
        <v/>
      </c>
      <c r="Z214" s="370" t="str">
        <f>IF(VLOOKUP($A214,'Pre-Assessment Estimator'!$A$10:$Z$226,Z$2,FALSE)=0,"",VLOOKUP($A214,'Pre-Assessment Estimator'!$A$10:$Z$226,Z$2,FALSE))</f>
        <v/>
      </c>
      <c r="AA214" s="696">
        <v>203</v>
      </c>
      <c r="AB214" s="577"/>
      <c r="AF214" s="386">
        <f t="shared" si="5"/>
        <v>1</v>
      </c>
    </row>
    <row r="215" spans="1:32" x14ac:dyDescent="0.25">
      <c r="A215" s="823">
        <v>206</v>
      </c>
      <c r="B215" s="1234" t="s">
        <v>217</v>
      </c>
      <c r="C215" s="1234"/>
      <c r="D215" s="1261" t="str">
        <f>VLOOKUP($A215,'Pre-Assessment Estimator'!$A$10:$Z$226,D$2,FALSE)</f>
        <v>Exemplary Level</v>
      </c>
      <c r="E215" s="1257" t="str">
        <f>VLOOKUP($A215,'Pre-Assessment Estimator'!$A$10:$Z$226,E$2,FALSE)</f>
        <v xml:space="preserve">Inn 04 - Hea 06: Biofilik design </v>
      </c>
      <c r="F215" s="574">
        <f>VLOOKUP($A215,'Pre-Assessment Estimator'!$A$10:$Z$226,F$2,FALSE)</f>
        <v>1</v>
      </c>
      <c r="G215" s="580" t="str">
        <f>IF(VLOOKUP($A215,'Pre-Assessment Estimator'!$A$10:$Z$226,G$2,FALSE)=0,"",VLOOKUP($A215,'Pre-Assessment Estimator'!$A$10:$Z$226,G$2,FALSE))</f>
        <v/>
      </c>
      <c r="H215" s="1220">
        <f>VLOOKUP($A215,'Pre-Assessment Estimator'!$A$10:$Z$226,H$2,FALSE)</f>
        <v>0</v>
      </c>
      <c r="I215" s="576" t="str">
        <f>VLOOKUP($A215,'Pre-Assessment Estimator'!$A$10:$Z$226,I$2,FALSE)</f>
        <v>N/A</v>
      </c>
      <c r="J215" s="577" t="str">
        <f>IF(VLOOKUP($A215,'Pre-Assessment Estimator'!$A$10:$Z$226,J$2,FALSE)=0,"",VLOOKUP($A215,'Pre-Assessment Estimator'!$A$10:$Z$226,J$2,FALSE))</f>
        <v/>
      </c>
      <c r="K215" s="577" t="str">
        <f>IF(VLOOKUP($A215,'Pre-Assessment Estimator'!$A$10:$Z$226,K$2,FALSE)=0,"",VLOOKUP($A215,'Pre-Assessment Estimator'!$A$10:$Z$226,K$2,FALSE))</f>
        <v/>
      </c>
      <c r="L215" s="578" t="str">
        <f>IF(VLOOKUP($A215,'Pre-Assessment Estimator'!$A$10:$Z$226,L$2,FALSE)=0,"",VLOOKUP($A215,'Pre-Assessment Estimator'!$A$10:$Z$226,L$2,FALSE))</f>
        <v/>
      </c>
      <c r="M215" s="579"/>
      <c r="N215" s="580" t="str">
        <f>IF(VLOOKUP($A215,'Pre-Assessment Estimator'!$A$10:$Z$226,N$2,FALSE)=0,"",VLOOKUP($A215,'Pre-Assessment Estimator'!$A$10:$Z$226,N$2,FALSE))</f>
        <v/>
      </c>
      <c r="O215" s="575">
        <f>VLOOKUP($A215,'Pre-Assessment Estimator'!$A$10:$Z$226,O$2,FALSE)</f>
        <v>0</v>
      </c>
      <c r="P215" s="574" t="str">
        <f>VLOOKUP($A215,'Pre-Assessment Estimator'!$A$10:$Z$226,P$2,FALSE)</f>
        <v>N/A</v>
      </c>
      <c r="Q215" s="577" t="str">
        <f>IF(VLOOKUP($A215,'Pre-Assessment Estimator'!$A$10:$Z$226,Q$2,FALSE)=0,"",VLOOKUP($A215,'Pre-Assessment Estimator'!$A$10:$Z$226,Q$2,FALSE))</f>
        <v/>
      </c>
      <c r="R215" s="577" t="str">
        <f>IF(VLOOKUP($A215,'Pre-Assessment Estimator'!$A$10:$Z$226,R$2,FALSE)=0,"",VLOOKUP($A215,'Pre-Assessment Estimator'!$A$10:$Z$226,R$2,FALSE))</f>
        <v/>
      </c>
      <c r="S215" s="578" t="str">
        <f>IF(VLOOKUP($A215,'Pre-Assessment Estimator'!$A$10:$Z$226,S$2,FALSE)=0,"",VLOOKUP($A215,'Pre-Assessment Estimator'!$A$10:$Z$226,S$2,FALSE))</f>
        <v/>
      </c>
      <c r="T215" s="581"/>
      <c r="U215" s="580" t="str">
        <f>IF(VLOOKUP($A215,'Pre-Assessment Estimator'!$A$10:$Z$226,U$2,FALSE)=0,"",VLOOKUP($A215,'Pre-Assessment Estimator'!$A$10:$Z$226,U$2,FALSE))</f>
        <v/>
      </c>
      <c r="V215" s="575">
        <f>VLOOKUP($A215,'Pre-Assessment Estimator'!$A$10:$Z$226,V$2,FALSE)</f>
        <v>0</v>
      </c>
      <c r="W215" s="574" t="str">
        <f>VLOOKUP($A215,'Pre-Assessment Estimator'!$A$10:$Z$226,W$2,FALSE)</f>
        <v>N/A</v>
      </c>
      <c r="X215" s="577" t="str">
        <f>IF(VLOOKUP($A215,'Pre-Assessment Estimator'!$A$10:$Z$226,X$2,FALSE)=0,"",VLOOKUP($A215,'Pre-Assessment Estimator'!$A$10:$Z$226,X$2,FALSE))</f>
        <v/>
      </c>
      <c r="Y215" s="577" t="str">
        <f>IF(VLOOKUP($A215,'Pre-Assessment Estimator'!$A$10:$Z$226,Y$2,FALSE)=0,"",VLOOKUP($A215,'Pre-Assessment Estimator'!$A$10:$Z$226,Y$2,FALSE))</f>
        <v/>
      </c>
      <c r="Z215" s="370" t="str">
        <f>IF(VLOOKUP($A215,'Pre-Assessment Estimator'!$A$10:$Z$226,Z$2,FALSE)=0,"",VLOOKUP($A215,'Pre-Assessment Estimator'!$A$10:$Z$226,Z$2,FALSE))</f>
        <v/>
      </c>
      <c r="AA215" s="696">
        <v>204</v>
      </c>
      <c r="AB215" s="577"/>
      <c r="AF215" s="386">
        <f t="shared" si="5"/>
        <v>1</v>
      </c>
    </row>
    <row r="216" spans="1:32" x14ac:dyDescent="0.25">
      <c r="A216" s="823">
        <v>207</v>
      </c>
      <c r="B216" s="1234" t="s">
        <v>217</v>
      </c>
      <c r="C216" s="1234"/>
      <c r="D216" s="1261" t="str">
        <f>VLOOKUP($A216,'Pre-Assessment Estimator'!$A$10:$Z$226,D$2,FALSE)</f>
        <v>Exemplary Level</v>
      </c>
      <c r="E216" s="1257" t="str">
        <f>VLOOKUP($A216,'Pre-Assessment Estimator'!$A$10:$Z$226,E$2,FALSE)</f>
        <v xml:space="preserve">Inn 05 - Ene 01: Post-occupancy stage </v>
      </c>
      <c r="F216" s="574">
        <f>VLOOKUP($A216,'Pre-Assessment Estimator'!$A$10:$Z$226,F$2,FALSE)</f>
        <v>2</v>
      </c>
      <c r="G216" s="580" t="str">
        <f>IF(VLOOKUP($A216,'Pre-Assessment Estimator'!$A$10:$Z$226,G$2,FALSE)=0,"",VLOOKUP($A216,'Pre-Assessment Estimator'!$A$10:$Z$226,G$2,FALSE))</f>
        <v/>
      </c>
      <c r="H216" s="1220">
        <f>VLOOKUP($A216,'Pre-Assessment Estimator'!$A$10:$Z$226,H$2,FALSE)</f>
        <v>0</v>
      </c>
      <c r="I216" s="576" t="str">
        <f>VLOOKUP($A216,'Pre-Assessment Estimator'!$A$10:$Z$226,I$2,FALSE)</f>
        <v>N/A</v>
      </c>
      <c r="J216" s="577" t="str">
        <f>IF(VLOOKUP($A216,'Pre-Assessment Estimator'!$A$10:$Z$226,J$2,FALSE)=0,"",VLOOKUP($A216,'Pre-Assessment Estimator'!$A$10:$Z$226,J$2,FALSE))</f>
        <v/>
      </c>
      <c r="K216" s="577" t="str">
        <f>IF(VLOOKUP($A216,'Pre-Assessment Estimator'!$A$10:$Z$226,K$2,FALSE)=0,"",VLOOKUP($A216,'Pre-Assessment Estimator'!$A$10:$Z$226,K$2,FALSE))</f>
        <v/>
      </c>
      <c r="L216" s="578" t="str">
        <f>IF(VLOOKUP($A216,'Pre-Assessment Estimator'!$A$10:$Z$226,L$2,FALSE)=0,"",VLOOKUP($A216,'Pre-Assessment Estimator'!$A$10:$Z$226,L$2,FALSE))</f>
        <v/>
      </c>
      <c r="M216" s="579"/>
      <c r="N216" s="580" t="str">
        <f>IF(VLOOKUP($A216,'Pre-Assessment Estimator'!$A$10:$Z$226,N$2,FALSE)=0,"",VLOOKUP($A216,'Pre-Assessment Estimator'!$A$10:$Z$226,N$2,FALSE))</f>
        <v/>
      </c>
      <c r="O216" s="575">
        <f>VLOOKUP($A216,'Pre-Assessment Estimator'!$A$10:$Z$226,O$2,FALSE)</f>
        <v>0</v>
      </c>
      <c r="P216" s="574" t="str">
        <f>VLOOKUP($A216,'Pre-Assessment Estimator'!$A$10:$Z$226,P$2,FALSE)</f>
        <v>N/A</v>
      </c>
      <c r="Q216" s="577" t="str">
        <f>IF(VLOOKUP($A216,'Pre-Assessment Estimator'!$A$10:$Z$226,Q$2,FALSE)=0,"",VLOOKUP($A216,'Pre-Assessment Estimator'!$A$10:$Z$226,Q$2,FALSE))</f>
        <v/>
      </c>
      <c r="R216" s="577" t="str">
        <f>IF(VLOOKUP($A216,'Pre-Assessment Estimator'!$A$10:$Z$226,R$2,FALSE)=0,"",VLOOKUP($A216,'Pre-Assessment Estimator'!$A$10:$Z$226,R$2,FALSE))</f>
        <v/>
      </c>
      <c r="S216" s="578" t="str">
        <f>IF(VLOOKUP($A216,'Pre-Assessment Estimator'!$A$10:$Z$226,S$2,FALSE)=0,"",VLOOKUP($A216,'Pre-Assessment Estimator'!$A$10:$Z$226,S$2,FALSE))</f>
        <v/>
      </c>
      <c r="T216" s="581"/>
      <c r="U216" s="580" t="str">
        <f>IF(VLOOKUP($A216,'Pre-Assessment Estimator'!$A$10:$Z$226,U$2,FALSE)=0,"",VLOOKUP($A216,'Pre-Assessment Estimator'!$A$10:$Z$226,U$2,FALSE))</f>
        <v/>
      </c>
      <c r="V216" s="575">
        <f>VLOOKUP($A216,'Pre-Assessment Estimator'!$A$10:$Z$226,V$2,FALSE)</f>
        <v>0</v>
      </c>
      <c r="W216" s="574" t="str">
        <f>VLOOKUP($A216,'Pre-Assessment Estimator'!$A$10:$Z$226,W$2,FALSE)</f>
        <v>N/A</v>
      </c>
      <c r="X216" s="577" t="str">
        <f>IF(VLOOKUP($A216,'Pre-Assessment Estimator'!$A$10:$Z$226,X$2,FALSE)=0,"",VLOOKUP($A216,'Pre-Assessment Estimator'!$A$10:$Z$226,X$2,FALSE))</f>
        <v/>
      </c>
      <c r="Y216" s="577" t="str">
        <f>IF(VLOOKUP($A216,'Pre-Assessment Estimator'!$A$10:$Z$226,Y$2,FALSE)=0,"",VLOOKUP($A216,'Pre-Assessment Estimator'!$A$10:$Z$226,Y$2,FALSE))</f>
        <v/>
      </c>
      <c r="Z216" s="370" t="str">
        <f>IF(VLOOKUP($A216,'Pre-Assessment Estimator'!$A$10:$Z$226,Z$2,FALSE)=0,"",VLOOKUP($A216,'Pre-Assessment Estimator'!$A$10:$Z$226,Z$2,FALSE))</f>
        <v/>
      </c>
      <c r="AA216" s="696">
        <v>205</v>
      </c>
      <c r="AB216" s="577"/>
      <c r="AF216" s="386">
        <f t="shared" si="5"/>
        <v>1</v>
      </c>
    </row>
    <row r="217" spans="1:32" x14ac:dyDescent="0.25">
      <c r="A217" s="823">
        <v>208</v>
      </c>
      <c r="B217" s="1234" t="s">
        <v>217</v>
      </c>
      <c r="C217" s="1234"/>
      <c r="D217" s="1261" t="str">
        <f>VLOOKUP($A217,'Pre-Assessment Estimator'!$A$10:$Z$226,D$2,FALSE)</f>
        <v>Exemplary Level</v>
      </c>
      <c r="E217" s="1257" t="str">
        <f>VLOOKUP($A217,'Pre-Assessment Estimator'!$A$10:$Z$226,E$2,FALSE)</f>
        <v xml:space="preserve">Inn 06 - Ene 01: Plus house </v>
      </c>
      <c r="F217" s="574">
        <f>VLOOKUP($A217,'Pre-Assessment Estimator'!$A$10:$Z$226,F$2,FALSE)</f>
        <v>1</v>
      </c>
      <c r="G217" s="580" t="str">
        <f>IF(VLOOKUP($A217,'Pre-Assessment Estimator'!$A$10:$Z$226,G$2,FALSE)=0,"",VLOOKUP($A217,'Pre-Assessment Estimator'!$A$10:$Z$226,G$2,FALSE))</f>
        <v/>
      </c>
      <c r="H217" s="1220">
        <f>VLOOKUP($A217,'Pre-Assessment Estimator'!$A$10:$Z$226,H$2,FALSE)</f>
        <v>0</v>
      </c>
      <c r="I217" s="576" t="str">
        <f>VLOOKUP($A217,'Pre-Assessment Estimator'!$A$10:$Z$226,I$2,FALSE)</f>
        <v>N/A</v>
      </c>
      <c r="J217" s="577" t="str">
        <f>IF(VLOOKUP($A217,'Pre-Assessment Estimator'!$A$10:$Z$226,J$2,FALSE)=0,"",VLOOKUP($A217,'Pre-Assessment Estimator'!$A$10:$Z$226,J$2,FALSE))</f>
        <v/>
      </c>
      <c r="K217" s="577" t="str">
        <f>IF(VLOOKUP($A217,'Pre-Assessment Estimator'!$A$10:$Z$226,K$2,FALSE)=0,"",VLOOKUP($A217,'Pre-Assessment Estimator'!$A$10:$Z$226,K$2,FALSE))</f>
        <v/>
      </c>
      <c r="L217" s="578" t="str">
        <f>IF(VLOOKUP($A217,'Pre-Assessment Estimator'!$A$10:$Z$226,L$2,FALSE)=0,"",VLOOKUP($A217,'Pre-Assessment Estimator'!$A$10:$Z$226,L$2,FALSE))</f>
        <v/>
      </c>
      <c r="M217" s="579"/>
      <c r="N217" s="580" t="str">
        <f>IF(VLOOKUP($A217,'Pre-Assessment Estimator'!$A$10:$Z$226,N$2,FALSE)=0,"",VLOOKUP($A217,'Pre-Assessment Estimator'!$A$10:$Z$226,N$2,FALSE))</f>
        <v/>
      </c>
      <c r="O217" s="575">
        <f>VLOOKUP($A217,'Pre-Assessment Estimator'!$A$10:$Z$226,O$2,FALSE)</f>
        <v>0</v>
      </c>
      <c r="P217" s="574" t="str">
        <f>VLOOKUP($A217,'Pre-Assessment Estimator'!$A$10:$Z$226,P$2,FALSE)</f>
        <v>N/A</v>
      </c>
      <c r="Q217" s="577" t="str">
        <f>IF(VLOOKUP($A217,'Pre-Assessment Estimator'!$A$10:$Z$226,Q$2,FALSE)=0,"",VLOOKUP($A217,'Pre-Assessment Estimator'!$A$10:$Z$226,Q$2,FALSE))</f>
        <v/>
      </c>
      <c r="R217" s="577" t="str">
        <f>IF(VLOOKUP($A217,'Pre-Assessment Estimator'!$A$10:$Z$226,R$2,FALSE)=0,"",VLOOKUP($A217,'Pre-Assessment Estimator'!$A$10:$Z$226,R$2,FALSE))</f>
        <v/>
      </c>
      <c r="S217" s="578" t="str">
        <f>IF(VLOOKUP($A217,'Pre-Assessment Estimator'!$A$10:$Z$226,S$2,FALSE)=0,"",VLOOKUP($A217,'Pre-Assessment Estimator'!$A$10:$Z$226,S$2,FALSE))</f>
        <v/>
      </c>
      <c r="T217" s="581"/>
      <c r="U217" s="580" t="str">
        <f>IF(VLOOKUP($A217,'Pre-Assessment Estimator'!$A$10:$Z$226,U$2,FALSE)=0,"",VLOOKUP($A217,'Pre-Assessment Estimator'!$A$10:$Z$226,U$2,FALSE))</f>
        <v/>
      </c>
      <c r="V217" s="575">
        <f>VLOOKUP($A217,'Pre-Assessment Estimator'!$A$10:$Z$226,V$2,FALSE)</f>
        <v>0</v>
      </c>
      <c r="W217" s="574" t="str">
        <f>VLOOKUP($A217,'Pre-Assessment Estimator'!$A$10:$Z$226,W$2,FALSE)</f>
        <v>N/A</v>
      </c>
      <c r="X217" s="577" t="str">
        <f>IF(VLOOKUP($A217,'Pre-Assessment Estimator'!$A$10:$Z$226,X$2,FALSE)=0,"",VLOOKUP($A217,'Pre-Assessment Estimator'!$A$10:$Z$226,X$2,FALSE))</f>
        <v/>
      </c>
      <c r="Y217" s="577" t="str">
        <f>IF(VLOOKUP($A217,'Pre-Assessment Estimator'!$A$10:$Z$226,Y$2,FALSE)=0,"",VLOOKUP($A217,'Pre-Assessment Estimator'!$A$10:$Z$226,Y$2,FALSE))</f>
        <v/>
      </c>
      <c r="Z217" s="370" t="str">
        <f>IF(VLOOKUP($A217,'Pre-Assessment Estimator'!$A$10:$Z$226,Z$2,FALSE)=0,"",VLOOKUP($A217,'Pre-Assessment Estimator'!$A$10:$Z$226,Z$2,FALSE))</f>
        <v/>
      </c>
      <c r="AA217" s="696">
        <v>206</v>
      </c>
      <c r="AB217" s="577"/>
      <c r="AF217" s="386">
        <f t="shared" si="5"/>
        <v>1</v>
      </c>
    </row>
    <row r="218" spans="1:32" x14ac:dyDescent="0.25">
      <c r="A218" s="823">
        <v>209</v>
      </c>
      <c r="B218" s="1234" t="s">
        <v>217</v>
      </c>
      <c r="C218" s="1234"/>
      <c r="D218" s="1261" t="str">
        <f>VLOOKUP($A218,'Pre-Assessment Estimator'!$A$10:$Z$226,D$2,FALSE)</f>
        <v>Exemplary Level</v>
      </c>
      <c r="E218" s="1257" t="str">
        <f>VLOOKUP($A218,'Pre-Assessment Estimator'!$A$10:$Z$226,E$2,FALSE)</f>
        <v>Inn 07 - Wat 01: Highly water efficient components</v>
      </c>
      <c r="F218" s="574">
        <f>VLOOKUP($A218,'Pre-Assessment Estimator'!$A$10:$Z$226,F$2,FALSE)</f>
        <v>1</v>
      </c>
      <c r="G218" s="580" t="str">
        <f>IF(VLOOKUP($A218,'Pre-Assessment Estimator'!$A$10:$Z$226,G$2,FALSE)=0,"",VLOOKUP($A218,'Pre-Assessment Estimator'!$A$10:$Z$226,G$2,FALSE))</f>
        <v/>
      </c>
      <c r="H218" s="1220">
        <f>VLOOKUP($A218,'Pre-Assessment Estimator'!$A$10:$Z$226,H$2,FALSE)</f>
        <v>0</v>
      </c>
      <c r="I218" s="576" t="str">
        <f>VLOOKUP($A218,'Pre-Assessment Estimator'!$A$10:$Z$226,I$2,FALSE)</f>
        <v>N/A</v>
      </c>
      <c r="J218" s="577" t="str">
        <f>IF(VLOOKUP($A218,'Pre-Assessment Estimator'!$A$10:$Z$226,J$2,FALSE)=0,"",VLOOKUP($A218,'Pre-Assessment Estimator'!$A$10:$Z$226,J$2,FALSE))</f>
        <v/>
      </c>
      <c r="K218" s="577" t="str">
        <f>IF(VLOOKUP($A218,'Pre-Assessment Estimator'!$A$10:$Z$226,K$2,FALSE)=0,"",VLOOKUP($A218,'Pre-Assessment Estimator'!$A$10:$Z$226,K$2,FALSE))</f>
        <v/>
      </c>
      <c r="L218" s="578" t="str">
        <f>IF(VLOOKUP($A218,'Pre-Assessment Estimator'!$A$10:$Z$226,L$2,FALSE)=0,"",VLOOKUP($A218,'Pre-Assessment Estimator'!$A$10:$Z$226,L$2,FALSE))</f>
        <v/>
      </c>
      <c r="M218" s="579"/>
      <c r="N218" s="580" t="str">
        <f>IF(VLOOKUP($A218,'Pre-Assessment Estimator'!$A$10:$Z$226,N$2,FALSE)=0,"",VLOOKUP($A218,'Pre-Assessment Estimator'!$A$10:$Z$226,N$2,FALSE))</f>
        <v/>
      </c>
      <c r="O218" s="575">
        <f>VLOOKUP($A218,'Pre-Assessment Estimator'!$A$10:$Z$226,O$2,FALSE)</f>
        <v>0</v>
      </c>
      <c r="P218" s="574" t="str">
        <f>VLOOKUP($A218,'Pre-Assessment Estimator'!$A$10:$Z$226,P$2,FALSE)</f>
        <v>N/A</v>
      </c>
      <c r="Q218" s="577" t="str">
        <f>IF(VLOOKUP($A218,'Pre-Assessment Estimator'!$A$10:$Z$226,Q$2,FALSE)=0,"",VLOOKUP($A218,'Pre-Assessment Estimator'!$A$10:$Z$226,Q$2,FALSE))</f>
        <v/>
      </c>
      <c r="R218" s="577" t="str">
        <f>IF(VLOOKUP($A218,'Pre-Assessment Estimator'!$A$10:$Z$226,R$2,FALSE)=0,"",VLOOKUP($A218,'Pre-Assessment Estimator'!$A$10:$Z$226,R$2,FALSE))</f>
        <v/>
      </c>
      <c r="S218" s="578" t="str">
        <f>IF(VLOOKUP($A218,'Pre-Assessment Estimator'!$A$10:$Z$226,S$2,FALSE)=0,"",VLOOKUP($A218,'Pre-Assessment Estimator'!$A$10:$Z$226,S$2,FALSE))</f>
        <v/>
      </c>
      <c r="T218" s="581"/>
      <c r="U218" s="580" t="str">
        <f>IF(VLOOKUP($A218,'Pre-Assessment Estimator'!$A$10:$Z$226,U$2,FALSE)=0,"",VLOOKUP($A218,'Pre-Assessment Estimator'!$A$10:$Z$226,U$2,FALSE))</f>
        <v/>
      </c>
      <c r="V218" s="575">
        <f>VLOOKUP($A218,'Pre-Assessment Estimator'!$A$10:$Z$226,V$2,FALSE)</f>
        <v>0</v>
      </c>
      <c r="W218" s="574" t="str">
        <f>VLOOKUP($A218,'Pre-Assessment Estimator'!$A$10:$Z$226,W$2,FALSE)</f>
        <v>N/A</v>
      </c>
      <c r="X218" s="577" t="str">
        <f>IF(VLOOKUP($A218,'Pre-Assessment Estimator'!$A$10:$Z$226,X$2,FALSE)=0,"",VLOOKUP($A218,'Pre-Assessment Estimator'!$A$10:$Z$226,X$2,FALSE))</f>
        <v/>
      </c>
      <c r="Y218" s="577" t="str">
        <f>IF(VLOOKUP($A218,'Pre-Assessment Estimator'!$A$10:$Z$226,Y$2,FALSE)=0,"",VLOOKUP($A218,'Pre-Assessment Estimator'!$A$10:$Z$226,Y$2,FALSE))</f>
        <v/>
      </c>
      <c r="Z218" s="370" t="str">
        <f>IF(VLOOKUP($A218,'Pre-Assessment Estimator'!$A$10:$Z$226,Z$2,FALSE)=0,"",VLOOKUP($A218,'Pre-Assessment Estimator'!$A$10:$Z$226,Z$2,FALSE))</f>
        <v/>
      </c>
      <c r="AA218" s="696">
        <v>207</v>
      </c>
      <c r="AB218" s="577" t="str">
        <f>IF(VLOOKUP($A218,'Pre-Assessment Estimator'!$A$10:$AB$226,AB$2,FALSE)=0,"",VLOOKUP($A218,'Pre-Assessment Estimator'!$A$10:$AB$226,AB$2,FALSE))</f>
        <v/>
      </c>
      <c r="AF218" s="386">
        <f t="shared" si="5"/>
        <v>1</v>
      </c>
    </row>
    <row r="219" spans="1:32" x14ac:dyDescent="0.25">
      <c r="A219" s="823">
        <v>210</v>
      </c>
      <c r="B219" s="1234" t="s">
        <v>217</v>
      </c>
      <c r="C219" s="1234"/>
      <c r="D219" s="1261" t="str">
        <f>VLOOKUP($A219,'Pre-Assessment Estimator'!$A$10:$Z$226,D$2,FALSE)</f>
        <v>Exemplary Level</v>
      </c>
      <c r="E219" s="1257" t="str">
        <f>VLOOKUP($A219,'Pre-Assessment Estimator'!$A$10:$Z$226,E$2,FALSE)</f>
        <v xml:space="preserve">Inn 08 - Mat 01: 60% reduction of greenhouse gas emission </v>
      </c>
      <c r="F219" s="574">
        <f>VLOOKUP($A219,'Pre-Assessment Estimator'!$A$10:$Z$226,F$2,FALSE)</f>
        <v>1</v>
      </c>
      <c r="G219" s="580" t="str">
        <f>IF(VLOOKUP($A219,'Pre-Assessment Estimator'!$A$10:$Z$226,G$2,FALSE)=0,"",VLOOKUP($A219,'Pre-Assessment Estimator'!$A$10:$Z$226,G$2,FALSE))</f>
        <v/>
      </c>
      <c r="H219" s="1220">
        <f>VLOOKUP($A219,'Pre-Assessment Estimator'!$A$10:$Z$226,H$2,FALSE)</f>
        <v>0</v>
      </c>
      <c r="I219" s="576" t="str">
        <f>VLOOKUP($A219,'Pre-Assessment Estimator'!$A$10:$Z$226,I$2,FALSE)</f>
        <v>N/A</v>
      </c>
      <c r="J219" s="577" t="str">
        <f>IF(VLOOKUP($A219,'Pre-Assessment Estimator'!$A$10:$Z$226,J$2,FALSE)=0,"",VLOOKUP($A219,'Pre-Assessment Estimator'!$A$10:$Z$226,J$2,FALSE))</f>
        <v/>
      </c>
      <c r="K219" s="577" t="str">
        <f>IF(VLOOKUP($A219,'Pre-Assessment Estimator'!$A$10:$Z$226,K$2,FALSE)=0,"",VLOOKUP($A219,'Pre-Assessment Estimator'!$A$10:$Z$226,K$2,FALSE))</f>
        <v/>
      </c>
      <c r="L219" s="578" t="str">
        <f>IF(VLOOKUP($A219,'Pre-Assessment Estimator'!$A$10:$Z$226,L$2,FALSE)=0,"",VLOOKUP($A219,'Pre-Assessment Estimator'!$A$10:$Z$226,L$2,FALSE))</f>
        <v/>
      </c>
      <c r="M219" s="579"/>
      <c r="N219" s="580" t="str">
        <f>IF(VLOOKUP($A219,'Pre-Assessment Estimator'!$A$10:$Z$226,N$2,FALSE)=0,"",VLOOKUP($A219,'Pre-Assessment Estimator'!$A$10:$Z$226,N$2,FALSE))</f>
        <v/>
      </c>
      <c r="O219" s="575">
        <f>VLOOKUP($A219,'Pre-Assessment Estimator'!$A$10:$Z$226,O$2,FALSE)</f>
        <v>0</v>
      </c>
      <c r="P219" s="574" t="str">
        <f>VLOOKUP($A219,'Pre-Assessment Estimator'!$A$10:$Z$226,P$2,FALSE)</f>
        <v>N/A</v>
      </c>
      <c r="Q219" s="577" t="str">
        <f>IF(VLOOKUP($A219,'Pre-Assessment Estimator'!$A$10:$Z$226,Q$2,FALSE)=0,"",VLOOKUP($A219,'Pre-Assessment Estimator'!$A$10:$Z$226,Q$2,FALSE))</f>
        <v/>
      </c>
      <c r="R219" s="577" t="str">
        <f>IF(VLOOKUP($A219,'Pre-Assessment Estimator'!$A$10:$Z$226,R$2,FALSE)=0,"",VLOOKUP($A219,'Pre-Assessment Estimator'!$A$10:$Z$226,R$2,FALSE))</f>
        <v/>
      </c>
      <c r="S219" s="578" t="str">
        <f>IF(VLOOKUP($A219,'Pre-Assessment Estimator'!$A$10:$Z$226,S$2,FALSE)=0,"",VLOOKUP($A219,'Pre-Assessment Estimator'!$A$10:$Z$226,S$2,FALSE))</f>
        <v/>
      </c>
      <c r="T219" s="581"/>
      <c r="U219" s="580" t="str">
        <f>IF(VLOOKUP($A219,'Pre-Assessment Estimator'!$A$10:$Z$226,U$2,FALSE)=0,"",VLOOKUP($A219,'Pre-Assessment Estimator'!$A$10:$Z$226,U$2,FALSE))</f>
        <v/>
      </c>
      <c r="V219" s="575">
        <f>VLOOKUP($A219,'Pre-Assessment Estimator'!$A$10:$Z$226,V$2,FALSE)</f>
        <v>0</v>
      </c>
      <c r="W219" s="574" t="str">
        <f>VLOOKUP($A219,'Pre-Assessment Estimator'!$A$10:$Z$226,W$2,FALSE)</f>
        <v>N/A</v>
      </c>
      <c r="X219" s="577" t="str">
        <f>IF(VLOOKUP($A219,'Pre-Assessment Estimator'!$A$10:$Z$226,X$2,FALSE)=0,"",VLOOKUP($A219,'Pre-Assessment Estimator'!$A$10:$Z$226,X$2,FALSE))</f>
        <v/>
      </c>
      <c r="Y219" s="577" t="str">
        <f>IF(VLOOKUP($A219,'Pre-Assessment Estimator'!$A$10:$Z$226,Y$2,FALSE)=0,"",VLOOKUP($A219,'Pre-Assessment Estimator'!$A$10:$Z$226,Y$2,FALSE))</f>
        <v/>
      </c>
      <c r="Z219" s="370" t="str">
        <f>IF(VLOOKUP($A219,'Pre-Assessment Estimator'!$A$10:$Z$226,Z$2,FALSE)=0,"",VLOOKUP($A219,'Pre-Assessment Estimator'!$A$10:$Z$226,Z$2,FALSE))</f>
        <v/>
      </c>
      <c r="AA219" s="696">
        <v>208</v>
      </c>
      <c r="AB219" s="577" t="str">
        <f>IF(VLOOKUP($A219,'Pre-Assessment Estimator'!$A$10:$AB$226,AB$2,FALSE)=0,"",VLOOKUP($A219,'Pre-Assessment Estimator'!$A$10:$AB$226,AB$2,FALSE))</f>
        <v/>
      </c>
      <c r="AF219" s="386">
        <f t="shared" si="5"/>
        <v>1</v>
      </c>
    </row>
    <row r="220" spans="1:32" ht="30" x14ac:dyDescent="0.25">
      <c r="A220" s="823">
        <v>211</v>
      </c>
      <c r="B220" s="1234" t="s">
        <v>217</v>
      </c>
      <c r="C220" s="1234"/>
      <c r="D220" s="1261" t="str">
        <f>VLOOKUP($A220,'Pre-Assessment Estimator'!$A$10:$Z$226,D$2,FALSE)</f>
        <v>Exemplary Level</v>
      </c>
      <c r="E220" s="1257" t="str">
        <f>VLOOKUP($A220,'Pre-Assessment Estimator'!$A$10:$Z$226,E$2,FALSE)</f>
        <v>Inn 09 - Mat 06: FutureBuilt criteria set for circular buildings, point 2.3 reuse of building components</v>
      </c>
      <c r="F220" s="574">
        <f>VLOOKUP($A220,'Pre-Assessment Estimator'!$A$10:$Z$226,F$2,FALSE)</f>
        <v>1</v>
      </c>
      <c r="G220" s="580" t="str">
        <f>IF(VLOOKUP($A220,'Pre-Assessment Estimator'!$A$10:$Z$226,G$2,FALSE)=0,"",VLOOKUP($A220,'Pre-Assessment Estimator'!$A$10:$Z$226,G$2,FALSE))</f>
        <v/>
      </c>
      <c r="H220" s="1220">
        <f>VLOOKUP($A220,'Pre-Assessment Estimator'!$A$10:$Z$226,H$2,FALSE)</f>
        <v>0</v>
      </c>
      <c r="I220" s="576" t="str">
        <f>VLOOKUP($A220,'Pre-Assessment Estimator'!$A$10:$Z$226,I$2,FALSE)</f>
        <v>N/A</v>
      </c>
      <c r="J220" s="577" t="str">
        <f>IF(VLOOKUP($A220,'Pre-Assessment Estimator'!$A$10:$Z$226,J$2,FALSE)=0,"",VLOOKUP($A220,'Pre-Assessment Estimator'!$A$10:$Z$226,J$2,FALSE))</f>
        <v/>
      </c>
      <c r="K220" s="577" t="str">
        <f>IF(VLOOKUP($A220,'Pre-Assessment Estimator'!$A$10:$Z$226,K$2,FALSE)=0,"",VLOOKUP($A220,'Pre-Assessment Estimator'!$A$10:$Z$226,K$2,FALSE))</f>
        <v/>
      </c>
      <c r="L220" s="578" t="str">
        <f>IF(VLOOKUP($A220,'Pre-Assessment Estimator'!$A$10:$Z$226,L$2,FALSE)=0,"",VLOOKUP($A220,'Pre-Assessment Estimator'!$A$10:$Z$226,L$2,FALSE))</f>
        <v/>
      </c>
      <c r="M220" s="579"/>
      <c r="N220" s="580" t="str">
        <f>IF(VLOOKUP($A220,'Pre-Assessment Estimator'!$A$10:$Z$226,N$2,FALSE)=0,"",VLOOKUP($A220,'Pre-Assessment Estimator'!$A$10:$Z$226,N$2,FALSE))</f>
        <v/>
      </c>
      <c r="O220" s="575">
        <f>VLOOKUP($A220,'Pre-Assessment Estimator'!$A$10:$Z$226,O$2,FALSE)</f>
        <v>0</v>
      </c>
      <c r="P220" s="574" t="str">
        <f>VLOOKUP($A220,'Pre-Assessment Estimator'!$A$10:$Z$226,P$2,FALSE)</f>
        <v>N/A</v>
      </c>
      <c r="Q220" s="577" t="str">
        <f>IF(VLOOKUP($A220,'Pre-Assessment Estimator'!$A$10:$Z$226,Q$2,FALSE)=0,"",VLOOKUP($A220,'Pre-Assessment Estimator'!$A$10:$Z$226,Q$2,FALSE))</f>
        <v/>
      </c>
      <c r="R220" s="577" t="str">
        <f>IF(VLOOKUP($A220,'Pre-Assessment Estimator'!$A$10:$Z$226,R$2,FALSE)=0,"",VLOOKUP($A220,'Pre-Assessment Estimator'!$A$10:$Z$226,R$2,FALSE))</f>
        <v/>
      </c>
      <c r="S220" s="578" t="str">
        <f>IF(VLOOKUP($A220,'Pre-Assessment Estimator'!$A$10:$Z$226,S$2,FALSE)=0,"",VLOOKUP($A220,'Pre-Assessment Estimator'!$A$10:$Z$226,S$2,FALSE))</f>
        <v/>
      </c>
      <c r="T220" s="581"/>
      <c r="U220" s="580" t="str">
        <f>IF(VLOOKUP($A220,'Pre-Assessment Estimator'!$A$10:$Z$226,U$2,FALSE)=0,"",VLOOKUP($A220,'Pre-Assessment Estimator'!$A$10:$Z$226,U$2,FALSE))</f>
        <v/>
      </c>
      <c r="V220" s="575">
        <f>VLOOKUP($A220,'Pre-Assessment Estimator'!$A$10:$Z$226,V$2,FALSE)</f>
        <v>0</v>
      </c>
      <c r="W220" s="574" t="str">
        <f>VLOOKUP($A220,'Pre-Assessment Estimator'!$A$10:$Z$226,W$2,FALSE)</f>
        <v>N/A</v>
      </c>
      <c r="X220" s="577" t="str">
        <f>IF(VLOOKUP($A220,'Pre-Assessment Estimator'!$A$10:$Z$226,X$2,FALSE)=0,"",VLOOKUP($A220,'Pre-Assessment Estimator'!$A$10:$Z$226,X$2,FALSE))</f>
        <v/>
      </c>
      <c r="Y220" s="577" t="str">
        <f>IF(VLOOKUP($A220,'Pre-Assessment Estimator'!$A$10:$Z$226,Y$2,FALSE)=0,"",VLOOKUP($A220,'Pre-Assessment Estimator'!$A$10:$Z$226,Y$2,FALSE))</f>
        <v/>
      </c>
      <c r="Z220" s="370" t="str">
        <f>IF(VLOOKUP($A220,'Pre-Assessment Estimator'!$A$10:$Z$226,Z$2,FALSE)=0,"",VLOOKUP($A220,'Pre-Assessment Estimator'!$A$10:$Z$226,Z$2,FALSE))</f>
        <v/>
      </c>
      <c r="AA220" s="696">
        <v>209</v>
      </c>
      <c r="AB220" s="577" t="str">
        <f>IF(VLOOKUP($A220,'Pre-Assessment Estimator'!$A$10:$AB$226,AB$2,FALSE)=0,"",VLOOKUP($A220,'Pre-Assessment Estimator'!$A$10:$AB$226,AB$2,FALSE))</f>
        <v/>
      </c>
      <c r="AF220" s="386">
        <f t="shared" si="5"/>
        <v>1</v>
      </c>
    </row>
    <row r="221" spans="1:32" x14ac:dyDescent="0.25">
      <c r="A221" s="823">
        <v>212</v>
      </c>
      <c r="B221" s="1234" t="s">
        <v>217</v>
      </c>
      <c r="C221" s="1234"/>
      <c r="D221" s="1261" t="str">
        <f>VLOOKUP($A221,'Pre-Assessment Estimator'!$A$10:$Z$226,D$2,FALSE)</f>
        <v>Exemplary Level</v>
      </c>
      <c r="E221" s="1257" t="str">
        <f>VLOOKUP($A221,'Pre-Assessment Estimator'!$A$10:$Z$226,E$2,FALSE)</f>
        <v xml:space="preserve">Inn 10 - Wst 01: Especially low amount of construction waste </v>
      </c>
      <c r="F221" s="574">
        <f>VLOOKUP($A221,'Pre-Assessment Estimator'!$A$10:$Z$226,F$2,FALSE)</f>
        <v>1</v>
      </c>
      <c r="G221" s="580" t="str">
        <f>IF(VLOOKUP($A221,'Pre-Assessment Estimator'!$A$10:$Z$226,G$2,FALSE)=0,"",VLOOKUP($A221,'Pre-Assessment Estimator'!$A$10:$Z$226,G$2,FALSE))</f>
        <v/>
      </c>
      <c r="H221" s="1220">
        <f>VLOOKUP($A221,'Pre-Assessment Estimator'!$A$10:$Z$226,H$2,FALSE)</f>
        <v>0</v>
      </c>
      <c r="I221" s="576" t="str">
        <f>VLOOKUP($A221,'Pre-Assessment Estimator'!$A$10:$Z$226,I$2,FALSE)</f>
        <v>N/A</v>
      </c>
      <c r="J221" s="577" t="str">
        <f>IF(VLOOKUP($A221,'Pre-Assessment Estimator'!$A$10:$Z$226,J$2,FALSE)=0,"",VLOOKUP($A221,'Pre-Assessment Estimator'!$A$10:$Z$226,J$2,FALSE))</f>
        <v/>
      </c>
      <c r="K221" s="577" t="str">
        <f>IF(VLOOKUP($A221,'Pre-Assessment Estimator'!$A$10:$Z$226,K$2,FALSE)=0,"",VLOOKUP($A221,'Pre-Assessment Estimator'!$A$10:$Z$226,K$2,FALSE))</f>
        <v/>
      </c>
      <c r="L221" s="578" t="str">
        <f>IF(VLOOKUP($A221,'Pre-Assessment Estimator'!$A$10:$Z$226,L$2,FALSE)=0,"",VLOOKUP($A221,'Pre-Assessment Estimator'!$A$10:$Z$226,L$2,FALSE))</f>
        <v/>
      </c>
      <c r="M221" s="579"/>
      <c r="N221" s="580" t="str">
        <f>IF(VLOOKUP($A221,'Pre-Assessment Estimator'!$A$10:$Z$226,N$2,FALSE)=0,"",VLOOKUP($A221,'Pre-Assessment Estimator'!$A$10:$Z$226,N$2,FALSE))</f>
        <v/>
      </c>
      <c r="O221" s="575">
        <f>VLOOKUP($A221,'Pre-Assessment Estimator'!$A$10:$Z$226,O$2,FALSE)</f>
        <v>0</v>
      </c>
      <c r="P221" s="574" t="str">
        <f>VLOOKUP($A221,'Pre-Assessment Estimator'!$A$10:$Z$226,P$2,FALSE)</f>
        <v>N/A</v>
      </c>
      <c r="Q221" s="577" t="str">
        <f>IF(VLOOKUP($A221,'Pre-Assessment Estimator'!$A$10:$Z$226,Q$2,FALSE)=0,"",VLOOKUP($A221,'Pre-Assessment Estimator'!$A$10:$Z$226,Q$2,FALSE))</f>
        <v/>
      </c>
      <c r="R221" s="577" t="str">
        <f>IF(VLOOKUP($A221,'Pre-Assessment Estimator'!$A$10:$Z$226,R$2,FALSE)=0,"",VLOOKUP($A221,'Pre-Assessment Estimator'!$A$10:$Z$226,R$2,FALSE))</f>
        <v/>
      </c>
      <c r="S221" s="578" t="str">
        <f>IF(VLOOKUP($A221,'Pre-Assessment Estimator'!$A$10:$Z$226,S$2,FALSE)=0,"",VLOOKUP($A221,'Pre-Assessment Estimator'!$A$10:$Z$226,S$2,FALSE))</f>
        <v/>
      </c>
      <c r="T221" s="581"/>
      <c r="U221" s="580" t="str">
        <f>IF(VLOOKUP($A221,'Pre-Assessment Estimator'!$A$10:$Z$226,U$2,FALSE)=0,"",VLOOKUP($A221,'Pre-Assessment Estimator'!$A$10:$Z$226,U$2,FALSE))</f>
        <v/>
      </c>
      <c r="V221" s="575">
        <f>VLOOKUP($A221,'Pre-Assessment Estimator'!$A$10:$Z$226,V$2,FALSE)</f>
        <v>0</v>
      </c>
      <c r="W221" s="574" t="str">
        <f>VLOOKUP($A221,'Pre-Assessment Estimator'!$A$10:$Z$226,W$2,FALSE)</f>
        <v>N/A</v>
      </c>
      <c r="X221" s="577" t="str">
        <f>IF(VLOOKUP($A221,'Pre-Assessment Estimator'!$A$10:$Z$226,X$2,FALSE)=0,"",VLOOKUP($A221,'Pre-Assessment Estimator'!$A$10:$Z$226,X$2,FALSE))</f>
        <v/>
      </c>
      <c r="Y221" s="577" t="str">
        <f>IF(VLOOKUP($A221,'Pre-Assessment Estimator'!$A$10:$Z$226,Y$2,FALSE)=0,"",VLOOKUP($A221,'Pre-Assessment Estimator'!$A$10:$Z$226,Y$2,FALSE))</f>
        <v/>
      </c>
      <c r="Z221" s="370" t="str">
        <f>IF(VLOOKUP($A221,'Pre-Assessment Estimator'!$A$10:$Z$226,Z$2,FALSE)=0,"",VLOOKUP($A221,'Pre-Assessment Estimator'!$A$10:$Z$226,Z$2,FALSE))</f>
        <v/>
      </c>
      <c r="AA221" s="696">
        <v>210</v>
      </c>
      <c r="AB221" s="577" t="str">
        <f>IF(VLOOKUP($A221,'Pre-Assessment Estimator'!$A$10:$AB$226,AB$2,FALSE)=0,"",VLOOKUP($A221,'Pre-Assessment Estimator'!$A$10:$AB$226,AB$2,FALSE))</f>
        <v/>
      </c>
      <c r="AF221" s="386">
        <f t="shared" si="5"/>
        <v>1</v>
      </c>
    </row>
    <row r="222" spans="1:32" x14ac:dyDescent="0.25">
      <c r="A222" s="823">
        <v>213</v>
      </c>
      <c r="B222" s="1234" t="s">
        <v>217</v>
      </c>
      <c r="C222" s="1234"/>
      <c r="D222" s="1261" t="str">
        <f>VLOOKUP($A222,'Pre-Assessment Estimator'!$A$10:$Z$226,D$2,FALSE)</f>
        <v>Exemplary Level</v>
      </c>
      <c r="E222" s="1257" t="str">
        <f>VLOOKUP($A222,'Pre-Assessment Estimator'!$A$10:$Z$226,E$2,FALSE)</f>
        <v>Inn 11 - LE 02: Wider sustainability for the site</v>
      </c>
      <c r="F222" s="574">
        <f>VLOOKUP($A222,'Pre-Assessment Estimator'!$A$10:$Z$226,F$2,FALSE)</f>
        <v>1</v>
      </c>
      <c r="G222" s="580" t="str">
        <f>IF(VLOOKUP($A222,'Pre-Assessment Estimator'!$A$10:$Z$226,G$2,FALSE)=0,"",VLOOKUP($A222,'Pre-Assessment Estimator'!$A$10:$Z$226,G$2,FALSE))</f>
        <v/>
      </c>
      <c r="H222" s="1220">
        <f>VLOOKUP($A222,'Pre-Assessment Estimator'!$A$10:$Z$226,H$2,FALSE)</f>
        <v>0</v>
      </c>
      <c r="I222" s="576" t="str">
        <f>VLOOKUP($A222,'Pre-Assessment Estimator'!$A$10:$Z$226,I$2,FALSE)</f>
        <v>N/A</v>
      </c>
      <c r="J222" s="577" t="str">
        <f>IF(VLOOKUP($A222,'Pre-Assessment Estimator'!$A$10:$Z$226,J$2,FALSE)=0,"",VLOOKUP($A222,'Pre-Assessment Estimator'!$A$10:$Z$226,J$2,FALSE))</f>
        <v/>
      </c>
      <c r="K222" s="577" t="str">
        <f>IF(VLOOKUP($A222,'Pre-Assessment Estimator'!$A$10:$Z$226,K$2,FALSE)=0,"",VLOOKUP($A222,'Pre-Assessment Estimator'!$A$10:$Z$226,K$2,FALSE))</f>
        <v/>
      </c>
      <c r="L222" s="578" t="str">
        <f>IF(VLOOKUP($A222,'Pre-Assessment Estimator'!$A$10:$Z$226,L$2,FALSE)=0,"",VLOOKUP($A222,'Pre-Assessment Estimator'!$A$10:$Z$226,L$2,FALSE))</f>
        <v/>
      </c>
      <c r="M222" s="579"/>
      <c r="N222" s="580" t="str">
        <f>IF(VLOOKUP($A222,'Pre-Assessment Estimator'!$A$10:$Z$226,N$2,FALSE)=0,"",VLOOKUP($A222,'Pre-Assessment Estimator'!$A$10:$Z$226,N$2,FALSE))</f>
        <v/>
      </c>
      <c r="O222" s="575">
        <f>VLOOKUP($A222,'Pre-Assessment Estimator'!$A$10:$Z$226,O$2,FALSE)</f>
        <v>0</v>
      </c>
      <c r="P222" s="574" t="str">
        <f>VLOOKUP($A222,'Pre-Assessment Estimator'!$A$10:$Z$226,P$2,FALSE)</f>
        <v>N/A</v>
      </c>
      <c r="Q222" s="577" t="str">
        <f>IF(VLOOKUP($A222,'Pre-Assessment Estimator'!$A$10:$Z$226,Q$2,FALSE)=0,"",VLOOKUP($A222,'Pre-Assessment Estimator'!$A$10:$Z$226,Q$2,FALSE))</f>
        <v/>
      </c>
      <c r="R222" s="577" t="str">
        <f>IF(VLOOKUP($A222,'Pre-Assessment Estimator'!$A$10:$Z$226,R$2,FALSE)=0,"",VLOOKUP($A222,'Pre-Assessment Estimator'!$A$10:$Z$226,R$2,FALSE))</f>
        <v/>
      </c>
      <c r="S222" s="578" t="str">
        <f>IF(VLOOKUP($A222,'Pre-Assessment Estimator'!$A$10:$Z$226,S$2,FALSE)=0,"",VLOOKUP($A222,'Pre-Assessment Estimator'!$A$10:$Z$226,S$2,FALSE))</f>
        <v/>
      </c>
      <c r="T222" s="581"/>
      <c r="U222" s="580" t="str">
        <f>IF(VLOOKUP($A222,'Pre-Assessment Estimator'!$A$10:$Z$226,U$2,FALSE)=0,"",VLOOKUP($A222,'Pre-Assessment Estimator'!$A$10:$Z$226,U$2,FALSE))</f>
        <v/>
      </c>
      <c r="V222" s="575">
        <f>VLOOKUP($A222,'Pre-Assessment Estimator'!$A$10:$Z$226,V$2,FALSE)</f>
        <v>0</v>
      </c>
      <c r="W222" s="574" t="str">
        <f>VLOOKUP($A222,'Pre-Assessment Estimator'!$A$10:$Z$226,W$2,FALSE)</f>
        <v>N/A</v>
      </c>
      <c r="X222" s="577" t="str">
        <f>IF(VLOOKUP($A222,'Pre-Assessment Estimator'!$A$10:$Z$226,X$2,FALSE)=0,"",VLOOKUP($A222,'Pre-Assessment Estimator'!$A$10:$Z$226,X$2,FALSE))</f>
        <v/>
      </c>
      <c r="Y222" s="577" t="str">
        <f>IF(VLOOKUP($A222,'Pre-Assessment Estimator'!$A$10:$Z$226,Y$2,FALSE)=0,"",VLOOKUP($A222,'Pre-Assessment Estimator'!$A$10:$Z$226,Y$2,FALSE))</f>
        <v/>
      </c>
      <c r="Z222" s="370" t="str">
        <f>IF(VLOOKUP($A222,'Pre-Assessment Estimator'!$A$10:$Z$226,Z$2,FALSE)=0,"",VLOOKUP($A222,'Pre-Assessment Estimator'!$A$10:$Z$226,Z$2,FALSE))</f>
        <v/>
      </c>
      <c r="AA222" s="696">
        <v>211</v>
      </c>
      <c r="AB222" s="577" t="str">
        <f>IF(VLOOKUP($A222,'Pre-Assessment Estimator'!$A$10:$AB$226,AB$2,FALSE)=0,"",VLOOKUP($A222,'Pre-Assessment Estimator'!$A$10:$AB$226,AB$2,FALSE))</f>
        <v/>
      </c>
      <c r="AF222" s="386">
        <f t="shared" si="5"/>
        <v>1</v>
      </c>
    </row>
    <row r="223" spans="1:32" x14ac:dyDescent="0.25">
      <c r="A223" s="823">
        <v>214</v>
      </c>
      <c r="B223" s="1234" t="s">
        <v>217</v>
      </c>
      <c r="C223" s="1234"/>
      <c r="D223" s="1261" t="str">
        <f>VLOOKUP($A223,'Pre-Assessment Estimator'!$A$10:$Z$226,D$2,FALSE)</f>
        <v>Exemplary Level</v>
      </c>
      <c r="E223" s="1257" t="str">
        <f>VLOOKUP($A223,'Pre-Assessment Estimator'!$A$10:$Z$226,E$2,FALSE)</f>
        <v>Inn 12 - LE 04: Significant net gain of biodiversity</v>
      </c>
      <c r="F223" s="574">
        <f>VLOOKUP($A223,'Pre-Assessment Estimator'!$A$10:$Z$226,F$2,FALSE)</f>
        <v>1</v>
      </c>
      <c r="G223" s="580" t="str">
        <f>IF(VLOOKUP($A223,'Pre-Assessment Estimator'!$A$10:$Z$226,G$2,FALSE)=0,"",VLOOKUP($A223,'Pre-Assessment Estimator'!$A$10:$Z$226,G$2,FALSE))</f>
        <v/>
      </c>
      <c r="H223" s="1220">
        <f>VLOOKUP($A223,'Pre-Assessment Estimator'!$A$10:$Z$226,H$2,FALSE)</f>
        <v>0</v>
      </c>
      <c r="I223" s="576" t="str">
        <f>VLOOKUP($A223,'Pre-Assessment Estimator'!$A$10:$Z$226,I$2,FALSE)</f>
        <v>N/A</v>
      </c>
      <c r="J223" s="577" t="str">
        <f>IF(VLOOKUP($A223,'Pre-Assessment Estimator'!$A$10:$Z$226,J$2,FALSE)=0,"",VLOOKUP($A223,'Pre-Assessment Estimator'!$A$10:$Z$226,J$2,FALSE))</f>
        <v/>
      </c>
      <c r="K223" s="577" t="str">
        <f>IF(VLOOKUP($A223,'Pre-Assessment Estimator'!$A$10:$Z$226,K$2,FALSE)=0,"",VLOOKUP($A223,'Pre-Assessment Estimator'!$A$10:$Z$226,K$2,FALSE))</f>
        <v/>
      </c>
      <c r="L223" s="578" t="str">
        <f>IF(VLOOKUP($A223,'Pre-Assessment Estimator'!$A$10:$Z$226,L$2,FALSE)=0,"",VLOOKUP($A223,'Pre-Assessment Estimator'!$A$10:$Z$226,L$2,FALSE))</f>
        <v/>
      </c>
      <c r="M223" s="579"/>
      <c r="N223" s="580" t="str">
        <f>IF(VLOOKUP($A223,'Pre-Assessment Estimator'!$A$10:$Z$226,N$2,FALSE)=0,"",VLOOKUP($A223,'Pre-Assessment Estimator'!$A$10:$Z$226,N$2,FALSE))</f>
        <v/>
      </c>
      <c r="O223" s="575">
        <f>VLOOKUP($A223,'Pre-Assessment Estimator'!$A$10:$Z$226,O$2,FALSE)</f>
        <v>0</v>
      </c>
      <c r="P223" s="574" t="str">
        <f>VLOOKUP($A223,'Pre-Assessment Estimator'!$A$10:$Z$226,P$2,FALSE)</f>
        <v>N/A</v>
      </c>
      <c r="Q223" s="577" t="str">
        <f>IF(VLOOKUP($A223,'Pre-Assessment Estimator'!$A$10:$Z$226,Q$2,FALSE)=0,"",VLOOKUP($A223,'Pre-Assessment Estimator'!$A$10:$Z$226,Q$2,FALSE))</f>
        <v/>
      </c>
      <c r="R223" s="577" t="str">
        <f>IF(VLOOKUP($A223,'Pre-Assessment Estimator'!$A$10:$Z$226,R$2,FALSE)=0,"",VLOOKUP($A223,'Pre-Assessment Estimator'!$A$10:$Z$226,R$2,FALSE))</f>
        <v/>
      </c>
      <c r="S223" s="578" t="str">
        <f>IF(VLOOKUP($A223,'Pre-Assessment Estimator'!$A$10:$Z$226,S$2,FALSE)=0,"",VLOOKUP($A223,'Pre-Assessment Estimator'!$A$10:$Z$226,S$2,FALSE))</f>
        <v/>
      </c>
      <c r="T223" s="581"/>
      <c r="U223" s="580" t="str">
        <f>IF(VLOOKUP($A223,'Pre-Assessment Estimator'!$A$10:$Z$226,U$2,FALSE)=0,"",VLOOKUP($A223,'Pre-Assessment Estimator'!$A$10:$Z$226,U$2,FALSE))</f>
        <v/>
      </c>
      <c r="V223" s="575">
        <f>VLOOKUP($A223,'Pre-Assessment Estimator'!$A$10:$Z$226,V$2,FALSE)</f>
        <v>0</v>
      </c>
      <c r="W223" s="574" t="str">
        <f>VLOOKUP($A223,'Pre-Assessment Estimator'!$A$10:$Z$226,W$2,FALSE)</f>
        <v>N/A</v>
      </c>
      <c r="X223" s="577" t="str">
        <f>IF(VLOOKUP($A223,'Pre-Assessment Estimator'!$A$10:$Z$226,X$2,FALSE)=0,"",VLOOKUP($A223,'Pre-Assessment Estimator'!$A$10:$Z$226,X$2,FALSE))</f>
        <v/>
      </c>
      <c r="Y223" s="577" t="str">
        <f>IF(VLOOKUP($A223,'Pre-Assessment Estimator'!$A$10:$Z$226,Y$2,FALSE)=0,"",VLOOKUP($A223,'Pre-Assessment Estimator'!$A$10:$Z$226,Y$2,FALSE))</f>
        <v/>
      </c>
      <c r="Z223" s="370" t="str">
        <f>IF(VLOOKUP($A223,'Pre-Assessment Estimator'!$A$10:$Z$226,Z$2,FALSE)=0,"",VLOOKUP($A223,'Pre-Assessment Estimator'!$A$10:$Z$226,Z$2,FALSE))</f>
        <v/>
      </c>
      <c r="AA223" s="696">
        <v>212</v>
      </c>
      <c r="AB223" s="577" t="str">
        <f>IF(VLOOKUP($A223,'Pre-Assessment Estimator'!$A$10:$AB$226,AB$2,FALSE)=0,"",VLOOKUP($A223,'Pre-Assessment Estimator'!$A$10:$AB$226,AB$2,FALSE))</f>
        <v/>
      </c>
      <c r="AF223" s="386">
        <f t="shared" si="5"/>
        <v>1</v>
      </c>
    </row>
    <row r="224" spans="1:32" x14ac:dyDescent="0.25">
      <c r="A224" s="823">
        <v>215</v>
      </c>
      <c r="B224" s="1234" t="s">
        <v>217</v>
      </c>
      <c r="C224" s="1234"/>
      <c r="D224" s="1261" t="str">
        <f>VLOOKUP($A224,'Pre-Assessment Estimator'!$A$10:$Z$226,D$2,FALSE)</f>
        <v>Exemplary Level</v>
      </c>
      <c r="E224" s="1257" t="str">
        <f>VLOOKUP($A224,'Pre-Assessment Estimator'!$A$10:$Z$226,E$2,FALSE)</f>
        <v>Inn 13 - LE 06: Responding to climate change</v>
      </c>
      <c r="F224" s="574">
        <f>VLOOKUP($A224,'Pre-Assessment Estimator'!$A$10:$Z$226,F$2,FALSE)</f>
        <v>1</v>
      </c>
      <c r="G224" s="580" t="str">
        <f>IF(VLOOKUP($A224,'Pre-Assessment Estimator'!$A$10:$Z$226,G$2,FALSE)=0,"",VLOOKUP($A224,'Pre-Assessment Estimator'!$A$10:$Z$226,G$2,FALSE))</f>
        <v/>
      </c>
      <c r="H224" s="1220">
        <f>VLOOKUP($A224,'Pre-Assessment Estimator'!$A$10:$Z$226,H$2,FALSE)</f>
        <v>0</v>
      </c>
      <c r="I224" s="576" t="str">
        <f>VLOOKUP($A224,'Pre-Assessment Estimator'!$A$10:$Z$226,I$2,FALSE)</f>
        <v>N/A</v>
      </c>
      <c r="J224" s="577" t="str">
        <f>IF(VLOOKUP($A224,'Pre-Assessment Estimator'!$A$10:$Z$226,J$2,FALSE)=0,"",VLOOKUP($A224,'Pre-Assessment Estimator'!$A$10:$Z$226,J$2,FALSE))</f>
        <v/>
      </c>
      <c r="K224" s="577" t="str">
        <f>IF(VLOOKUP($A224,'Pre-Assessment Estimator'!$A$10:$Z$226,K$2,FALSE)=0,"",VLOOKUP($A224,'Pre-Assessment Estimator'!$A$10:$Z$226,K$2,FALSE))</f>
        <v/>
      </c>
      <c r="L224" s="578" t="str">
        <f>IF(VLOOKUP($A224,'Pre-Assessment Estimator'!$A$10:$Z$226,L$2,FALSE)=0,"",VLOOKUP($A224,'Pre-Assessment Estimator'!$A$10:$Z$226,L$2,FALSE))</f>
        <v/>
      </c>
      <c r="M224" s="579"/>
      <c r="N224" s="580" t="str">
        <f>IF(VLOOKUP($A224,'Pre-Assessment Estimator'!$A$10:$Z$226,N$2,FALSE)=0,"",VLOOKUP($A224,'Pre-Assessment Estimator'!$A$10:$Z$226,N$2,FALSE))</f>
        <v/>
      </c>
      <c r="O224" s="575">
        <f>VLOOKUP($A224,'Pre-Assessment Estimator'!$A$10:$Z$226,O$2,FALSE)</f>
        <v>0</v>
      </c>
      <c r="P224" s="574" t="str">
        <f>VLOOKUP($A224,'Pre-Assessment Estimator'!$A$10:$Z$226,P$2,FALSE)</f>
        <v>N/A</v>
      </c>
      <c r="Q224" s="577" t="str">
        <f>IF(VLOOKUP($A224,'Pre-Assessment Estimator'!$A$10:$Z$226,Q$2,FALSE)=0,"",VLOOKUP($A224,'Pre-Assessment Estimator'!$A$10:$Z$226,Q$2,FALSE))</f>
        <v/>
      </c>
      <c r="R224" s="577" t="str">
        <f>IF(VLOOKUP($A224,'Pre-Assessment Estimator'!$A$10:$Z$226,R$2,FALSE)=0,"",VLOOKUP($A224,'Pre-Assessment Estimator'!$A$10:$Z$226,R$2,FALSE))</f>
        <v/>
      </c>
      <c r="S224" s="578" t="str">
        <f>IF(VLOOKUP($A224,'Pre-Assessment Estimator'!$A$10:$Z$226,S$2,FALSE)=0,"",VLOOKUP($A224,'Pre-Assessment Estimator'!$A$10:$Z$226,S$2,FALSE))</f>
        <v/>
      </c>
      <c r="T224" s="581"/>
      <c r="U224" s="580" t="str">
        <f>IF(VLOOKUP($A224,'Pre-Assessment Estimator'!$A$10:$Z$226,U$2,FALSE)=0,"",VLOOKUP($A224,'Pre-Assessment Estimator'!$A$10:$Z$226,U$2,FALSE))</f>
        <v/>
      </c>
      <c r="V224" s="575">
        <f>VLOOKUP($A224,'Pre-Assessment Estimator'!$A$10:$Z$226,V$2,FALSE)</f>
        <v>0</v>
      </c>
      <c r="W224" s="574" t="str">
        <f>VLOOKUP($A224,'Pre-Assessment Estimator'!$A$10:$Z$226,W$2,FALSE)</f>
        <v>N/A</v>
      </c>
      <c r="X224" s="577" t="str">
        <f>IF(VLOOKUP($A224,'Pre-Assessment Estimator'!$A$10:$Z$226,X$2,FALSE)=0,"",VLOOKUP($A224,'Pre-Assessment Estimator'!$A$10:$Z$226,X$2,FALSE))</f>
        <v/>
      </c>
      <c r="Y224" s="577" t="str">
        <f>IF(VLOOKUP($A224,'Pre-Assessment Estimator'!$A$10:$Z$226,Y$2,FALSE)=0,"",VLOOKUP($A224,'Pre-Assessment Estimator'!$A$10:$Z$226,Y$2,FALSE))</f>
        <v/>
      </c>
      <c r="Z224" s="370" t="str">
        <f>IF(VLOOKUP($A224,'Pre-Assessment Estimator'!$A$10:$Z$226,Z$2,FALSE)=0,"",VLOOKUP($A224,'Pre-Assessment Estimator'!$A$10:$Z$226,Z$2,FALSE))</f>
        <v/>
      </c>
      <c r="AA224" s="696">
        <v>213</v>
      </c>
      <c r="AB224" s="389"/>
      <c r="AC224" s="389"/>
      <c r="AD224" s="389"/>
      <c r="AE224" s="389"/>
    </row>
    <row r="225" spans="1:44" x14ac:dyDescent="0.25">
      <c r="A225" s="823">
        <v>216</v>
      </c>
      <c r="B225" s="1234" t="s">
        <v>217</v>
      </c>
      <c r="C225" s="1235"/>
      <c r="D225" s="1261" t="str">
        <f>VLOOKUP($A225,'Pre-Assessment Estimator'!$A$10:$Z$226,D$2,FALSE)</f>
        <v>Exemplary Level</v>
      </c>
      <c r="E225" s="1257" t="str">
        <f>VLOOKUP($A225,'Pre-Assessment Estimator'!$A$10:$Z$226,E$2,FALSE)</f>
        <v>Inn 14 - LE 08: Wider approach to surface water management</v>
      </c>
      <c r="F225" s="574">
        <f>VLOOKUP($A225,'Pre-Assessment Estimator'!$A$10:$Z$226,F$2,FALSE)</f>
        <v>1</v>
      </c>
      <c r="G225" s="580" t="str">
        <f>IF(VLOOKUP($A225,'Pre-Assessment Estimator'!$A$10:$Z$226,G$2,FALSE)=0,"",VLOOKUP($A225,'Pre-Assessment Estimator'!$A$10:$Z$226,G$2,FALSE))</f>
        <v/>
      </c>
      <c r="H225" s="1220">
        <f>VLOOKUP($A225,'Pre-Assessment Estimator'!$A$10:$Z$226,H$2,FALSE)</f>
        <v>0</v>
      </c>
      <c r="I225" s="576" t="str">
        <f>VLOOKUP($A225,'Pre-Assessment Estimator'!$A$10:$Z$226,I$2,FALSE)</f>
        <v>N/A</v>
      </c>
      <c r="J225" s="577" t="str">
        <f>IF(VLOOKUP($A225,'Pre-Assessment Estimator'!$A$10:$Z$226,J$2,FALSE)=0,"",VLOOKUP($A225,'Pre-Assessment Estimator'!$A$10:$Z$226,J$2,FALSE))</f>
        <v/>
      </c>
      <c r="K225" s="577" t="str">
        <f>IF(VLOOKUP($A225,'Pre-Assessment Estimator'!$A$10:$Z$226,K$2,FALSE)=0,"",VLOOKUP($A225,'Pre-Assessment Estimator'!$A$10:$Z$226,K$2,FALSE))</f>
        <v/>
      </c>
      <c r="L225" s="578" t="str">
        <f>IF(VLOOKUP($A225,'Pre-Assessment Estimator'!$A$10:$Z$226,L$2,FALSE)=0,"",VLOOKUP($A225,'Pre-Assessment Estimator'!$A$10:$Z$226,L$2,FALSE))</f>
        <v/>
      </c>
      <c r="M225" s="579"/>
      <c r="N225" s="580" t="str">
        <f>IF(VLOOKUP($A225,'Pre-Assessment Estimator'!$A$10:$Z$226,N$2,FALSE)=0,"",VLOOKUP($A225,'Pre-Assessment Estimator'!$A$10:$Z$226,N$2,FALSE))</f>
        <v/>
      </c>
      <c r="O225" s="575">
        <f>VLOOKUP($A225,'Pre-Assessment Estimator'!$A$10:$Z$226,O$2,FALSE)</f>
        <v>0</v>
      </c>
      <c r="P225" s="574" t="str">
        <f>VLOOKUP($A225,'Pre-Assessment Estimator'!$A$10:$Z$226,P$2,FALSE)</f>
        <v>N/A</v>
      </c>
      <c r="Q225" s="577" t="str">
        <f>IF(VLOOKUP($A225,'Pre-Assessment Estimator'!$A$10:$Z$226,Q$2,FALSE)=0,"",VLOOKUP($A225,'Pre-Assessment Estimator'!$A$10:$Z$226,Q$2,FALSE))</f>
        <v/>
      </c>
      <c r="R225" s="577" t="str">
        <f>IF(VLOOKUP($A225,'Pre-Assessment Estimator'!$A$10:$Z$226,R$2,FALSE)=0,"",VLOOKUP($A225,'Pre-Assessment Estimator'!$A$10:$Z$226,R$2,FALSE))</f>
        <v/>
      </c>
      <c r="S225" s="578" t="str">
        <f>IF(VLOOKUP($A225,'Pre-Assessment Estimator'!$A$10:$Z$226,S$2,FALSE)=0,"",VLOOKUP($A225,'Pre-Assessment Estimator'!$A$10:$Z$226,S$2,FALSE))</f>
        <v/>
      </c>
      <c r="T225" s="581"/>
      <c r="U225" s="580" t="str">
        <f>IF(VLOOKUP($A225,'Pre-Assessment Estimator'!$A$10:$Z$226,U$2,FALSE)=0,"",VLOOKUP($A225,'Pre-Assessment Estimator'!$A$10:$Z$226,U$2,FALSE))</f>
        <v/>
      </c>
      <c r="V225" s="575">
        <f>VLOOKUP($A225,'Pre-Assessment Estimator'!$A$10:$Z$226,V$2,FALSE)</f>
        <v>0</v>
      </c>
      <c r="W225" s="574" t="str">
        <f>VLOOKUP($A225,'Pre-Assessment Estimator'!$A$10:$Z$226,W$2,FALSE)</f>
        <v>N/A</v>
      </c>
      <c r="X225" s="577" t="str">
        <f>IF(VLOOKUP($A225,'Pre-Assessment Estimator'!$A$10:$Z$226,X$2,FALSE)=0,"",VLOOKUP($A225,'Pre-Assessment Estimator'!$A$10:$Z$226,X$2,FALSE))</f>
        <v/>
      </c>
      <c r="Y225" s="577" t="str">
        <f>IF(VLOOKUP($A225,'Pre-Assessment Estimator'!$A$10:$Z$226,Y$2,FALSE)=0,"",VLOOKUP($A225,'Pre-Assessment Estimator'!$A$10:$Z$226,Y$2,FALSE))</f>
        <v/>
      </c>
      <c r="Z225" s="370" t="str">
        <f>IF(VLOOKUP($A225,'Pre-Assessment Estimator'!$A$10:$Z$226,Z$2,FALSE)=0,"",VLOOKUP($A225,'Pre-Assessment Estimator'!$A$10:$Z$226,Z$2,FALSE))</f>
        <v/>
      </c>
      <c r="AA225" s="696">
        <v>214</v>
      </c>
    </row>
    <row r="226" spans="1:44" ht="30" customHeight="1" thickBot="1" x14ac:dyDescent="0.3">
      <c r="A226" s="823">
        <v>217</v>
      </c>
      <c r="B226" s="1234" t="s">
        <v>217</v>
      </c>
      <c r="C226" s="1235"/>
      <c r="D226" s="1259"/>
      <c r="E226" s="1259" t="str">
        <f>VLOOKUP($A226,'Pre-Assessment Estimator'!$A$10:$Z$226,E$2,FALSE)</f>
        <v>Total indicative environmental section performance</v>
      </c>
      <c r="F226" s="582">
        <f>VLOOKUP($A226,'Pre-Assessment Estimator'!$A$10:$Z$226,F$2,FALSE)</f>
        <v>10</v>
      </c>
      <c r="G226" s="584" t="str">
        <f>IF(VLOOKUP($A226,'Pre-Assessment Estimator'!$A$10:$Z$226,G$2,FALSE)=0,"",VLOOKUP($A226,'Pre-Assessment Estimator'!$A$10:$Z$226,G$2,FALSE))</f>
        <v/>
      </c>
      <c r="H226" s="583">
        <f>VLOOKUP($A226,'Pre-Assessment Estimator'!$A$10:$Z$226,H$2,FALSE)</f>
        <v>0</v>
      </c>
      <c r="I226" s="582" t="str">
        <f>VLOOKUP($A226,'Pre-Assessment Estimator'!$A$10:$Z$226,I$2,FALSE)</f>
        <v>Credits achieved: 0</v>
      </c>
      <c r="J226" s="1202" t="str">
        <f>IF(VLOOKUP($A226,'Pre-Assessment Estimator'!$A$10:$Z$226,J$2,FALSE)=0,"",VLOOKUP($A226,'Pre-Assessment Estimator'!$A$10:$Z$226,J$2,FALSE))</f>
        <v/>
      </c>
      <c r="K226" s="1202" t="str">
        <f>IF(VLOOKUP($A226,'Pre-Assessment Estimator'!$A$10:$Z$226,K$2,FALSE)=0,"",VLOOKUP($A226,'Pre-Assessment Estimator'!$A$10:$Z$226,K$2,FALSE))</f>
        <v/>
      </c>
      <c r="L226" s="1221" t="str">
        <f>IF(VLOOKUP($A226,'Pre-Assessment Estimator'!$A$10:$Z$226,L$2,FALSE)=0,"",VLOOKUP($A226,'Pre-Assessment Estimator'!$A$10:$Z$226,L$2,FALSE))</f>
        <v/>
      </c>
      <c r="M226" s="1222"/>
      <c r="N226" s="584" t="str">
        <f>IF(VLOOKUP($A226,'Pre-Assessment Estimator'!$A$10:$Z$226,N$2,FALSE)=0,"",VLOOKUP($A226,'Pre-Assessment Estimator'!$A$10:$Z$226,N$2,FALSE))</f>
        <v/>
      </c>
      <c r="O226" s="583">
        <f>VLOOKUP($A226,'Pre-Assessment Estimator'!$A$10:$Z$226,O$2,FALSE)</f>
        <v>0</v>
      </c>
      <c r="P226" s="582" t="str">
        <f>VLOOKUP($A226,'Pre-Assessment Estimator'!$A$10:$Z$226,P$2,FALSE)</f>
        <v>Credits achieved: 0</v>
      </c>
      <c r="Q226" s="1202" t="str">
        <f>IF(VLOOKUP($A226,'Pre-Assessment Estimator'!$A$10:$Z$226,Q$2,FALSE)=0,"",VLOOKUP($A226,'Pre-Assessment Estimator'!$A$10:$Z$226,Q$2,FALSE))</f>
        <v/>
      </c>
      <c r="R226" s="1202" t="str">
        <f>IF(VLOOKUP($A226,'Pre-Assessment Estimator'!$A$10:$Z$226,R$2,FALSE)=0,"",VLOOKUP($A226,'Pre-Assessment Estimator'!$A$10:$Z$226,R$2,FALSE))</f>
        <v/>
      </c>
      <c r="S226" s="1221" t="str">
        <f>IF(VLOOKUP($A226,'Pre-Assessment Estimator'!$A$10:$Z$226,S$2,FALSE)=0,"",VLOOKUP($A226,'Pre-Assessment Estimator'!$A$10:$Z$226,S$2,FALSE))</f>
        <v/>
      </c>
      <c r="T226" s="1223"/>
      <c r="U226" s="584" t="str">
        <f>IF(VLOOKUP($A226,'Pre-Assessment Estimator'!$A$10:$Z$226,U$2,FALSE)=0,"",VLOOKUP($A226,'Pre-Assessment Estimator'!$A$10:$Z$226,U$2,FALSE))</f>
        <v/>
      </c>
      <c r="V226" s="583">
        <f>VLOOKUP($A226,'Pre-Assessment Estimator'!$A$10:$Z$226,V$2,FALSE)</f>
        <v>0</v>
      </c>
      <c r="W226" s="582" t="str">
        <f>VLOOKUP($A226,'Pre-Assessment Estimator'!$A$10:$Z$226,W$2,FALSE)</f>
        <v>Credits achieved: 0</v>
      </c>
      <c r="X226" s="1202" t="str">
        <f>IF(VLOOKUP($A226,'Pre-Assessment Estimator'!$A$10:$Z$226,X$2,FALSE)=0,"",VLOOKUP($A226,'Pre-Assessment Estimator'!$A$10:$Z$226,X$2,FALSE))</f>
        <v/>
      </c>
      <c r="Y226" s="1202" t="str">
        <f>IF(VLOOKUP($A226,'Pre-Assessment Estimator'!$A$10:$Z$226,Y$2,FALSE)=0,"",VLOOKUP($A226,'Pre-Assessment Estimator'!$A$10:$Z$226,Y$2,FALSE))</f>
        <v/>
      </c>
      <c r="Z226" s="1224" t="str">
        <f>IF(VLOOKUP($A226,'Pre-Assessment Estimator'!$A$10:$Z$226,Z$2,FALSE)=0,"",VLOOKUP($A226,'Pre-Assessment Estimator'!$A$10:$Z$226,Z$2,FALSE))</f>
        <v/>
      </c>
      <c r="AA226" s="696">
        <v>215</v>
      </c>
    </row>
    <row r="227" spans="1:44" x14ac:dyDescent="0.25">
      <c r="A227" s="388"/>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row>
    <row r="228" spans="1:44" x14ac:dyDescent="0.25">
      <c r="A228" s="388"/>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row>
    <row r="229" spans="1:44" x14ac:dyDescent="0.25">
      <c r="A229" s="388"/>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414"/>
      <c r="AK229" s="414"/>
      <c r="AL229" s="414"/>
      <c r="AM229" s="414"/>
      <c r="AN229" s="414"/>
      <c r="AO229" s="414"/>
      <c r="AP229" s="414"/>
      <c r="AQ229" s="414"/>
      <c r="AR229" s="414"/>
    </row>
    <row r="230" spans="1:44" x14ac:dyDescent="0.25">
      <c r="E230" s="387"/>
      <c r="M230" s="387"/>
      <c r="T230" s="387"/>
      <c r="AB230" s="387"/>
      <c r="AC230" s="387"/>
      <c r="AD230" s="387"/>
      <c r="AE230" s="387"/>
      <c r="AF230" s="387"/>
    </row>
    <row r="231" spans="1:44" x14ac:dyDescent="0.25">
      <c r="E231" s="387"/>
      <c r="M231" s="387"/>
      <c r="T231" s="387"/>
      <c r="AB231" s="387"/>
      <c r="AC231" s="387"/>
      <c r="AD231" s="387"/>
      <c r="AE231" s="387"/>
      <c r="AF231" s="387"/>
    </row>
    <row r="232" spans="1:44" x14ac:dyDescent="0.25">
      <c r="E232" s="387"/>
      <c r="M232" s="387"/>
      <c r="T232" s="387"/>
      <c r="AB232" s="387"/>
      <c r="AC232" s="387"/>
      <c r="AD232" s="387"/>
      <c r="AE232" s="387"/>
      <c r="AF232" s="387"/>
    </row>
    <row r="382" spans="5:27" s="386" customFormat="1" ht="15.75" x14ac:dyDescent="0.25">
      <c r="E382" s="6"/>
      <c r="F382" s="416"/>
      <c r="G382" s="416"/>
      <c r="H382" s="416"/>
      <c r="I382" s="416"/>
      <c r="J382" s="416"/>
      <c r="K382" s="416"/>
      <c r="L382" s="417"/>
      <c r="N382" s="416"/>
      <c r="O382" s="416"/>
      <c r="P382" s="416"/>
      <c r="Q382" s="416"/>
      <c r="R382" s="416"/>
      <c r="S382" s="416"/>
      <c r="U382" s="416"/>
      <c r="V382" s="416"/>
      <c r="W382" s="416"/>
      <c r="X382" s="416"/>
      <c r="Y382" s="416"/>
      <c r="Z382" s="416"/>
      <c r="AA382" s="416"/>
    </row>
  </sheetData>
  <sheetProtection algorithmName="SHA-512" hashValue="+4Ylm6z3SfNurSg/yakaVlwbft8krhVyVXjoHNHYKoJAA0O/PwsAefyjR5GJw0mh+ysfAfXZBd996zTmDwWyLQ==" saltValue="UX30/IZAaLdzQ3BPUKWC3A==" spinCount="100000" sheet="1" formatRows="0" sort="0" autoFilter="0"/>
  <autoFilter ref="A9:AF226" xr:uid="{00000000-0001-0000-0600-000000000000}"/>
  <conditionalFormatting sqref="E102:L102 J10:L10 J37:L37 J65:L65 J94:L94 J103:L103 AB11:AB36 E36:L36 AB95:AB102 E64:L64 AB38:AB39 E93:L93 AB104:AB115 AB117:AB144 AB146:AB158 AB160:AB171 AB192:AB207 F11:L35 AB209:AB223 F72:L91 F148:L159 F163:L171 F195:L208 F212:L225 U160:Z162 U192:Z194 U209:Z211 U226:Z226 N10:S39 U10:AA39 U41:AA71 AB41:AB64 N173:S226 AA173:AA226 F173:L191 AB173:AB190 N41:S171 U72:Z147 AA72:AA171 AB66:AB93">
    <cfRule type="expression" dxfId="443" priority="1630">
      <formula>$AF10=2</formula>
    </cfRule>
  </conditionalFormatting>
  <conditionalFormatting sqref="N2:AA2">
    <cfRule type="expression" dxfId="442" priority="1596">
      <formula>$AF10=2</formula>
    </cfRule>
  </conditionalFormatting>
  <conditionalFormatting sqref="AB10">
    <cfRule type="expression" dxfId="441" priority="1204">
      <formula>$AF10=2</formula>
    </cfRule>
  </conditionalFormatting>
  <conditionalFormatting sqref="AB37">
    <cfRule type="expression" dxfId="440" priority="1201">
      <formula>$AF37=2</formula>
    </cfRule>
  </conditionalFormatting>
  <conditionalFormatting sqref="AB65">
    <cfRule type="expression" dxfId="439" priority="1198">
      <formula>$AF65=2</formula>
    </cfRule>
  </conditionalFormatting>
  <conditionalFormatting sqref="AB94">
    <cfRule type="expression" dxfId="438" priority="1195">
      <formula>$AF94=2</formula>
    </cfRule>
  </conditionalFormatting>
  <conditionalFormatting sqref="AB103">
    <cfRule type="expression" dxfId="437" priority="1192">
      <formula>$AF103=2</formula>
    </cfRule>
  </conditionalFormatting>
  <conditionalFormatting sqref="AB116">
    <cfRule type="expression" dxfId="436" priority="1189">
      <formula>$AF116=2</formula>
    </cfRule>
  </conditionalFormatting>
  <conditionalFormatting sqref="AB145">
    <cfRule type="expression" dxfId="435" priority="1186">
      <formula>$AF145=2</formula>
    </cfRule>
  </conditionalFormatting>
  <conditionalFormatting sqref="AB159">
    <cfRule type="expression" dxfId="434" priority="1183">
      <formula>$AF159=2</formula>
    </cfRule>
  </conditionalFormatting>
  <conditionalFormatting sqref="AB191">
    <cfRule type="expression" dxfId="433" priority="1180">
      <formula>$AF191=2</formula>
    </cfRule>
  </conditionalFormatting>
  <conditionalFormatting sqref="AB208">
    <cfRule type="expression" dxfId="432" priority="1177">
      <formula>$AF208=2</formula>
    </cfRule>
  </conditionalFormatting>
  <conditionalFormatting sqref="F63:L63">
    <cfRule type="expression" dxfId="431" priority="1133">
      <formula>$AF63=2</formula>
    </cfRule>
  </conditionalFormatting>
  <conditionalFormatting sqref="F92:L92">
    <cfRule type="expression" dxfId="430" priority="1110">
      <formula>$AF92=2</formula>
    </cfRule>
  </conditionalFormatting>
  <conditionalFormatting sqref="F101:L101">
    <cfRule type="expression" dxfId="429" priority="1087">
      <formula>$AF101=2</formula>
    </cfRule>
  </conditionalFormatting>
  <conditionalFormatting sqref="F38:L39 F41:L62">
    <cfRule type="expression" dxfId="428" priority="903">
      <formula>$AF38=2</formula>
    </cfRule>
  </conditionalFormatting>
  <conditionalFormatting sqref="F66:L70">
    <cfRule type="expression" dxfId="427" priority="868">
      <formula>$AF66=2</formula>
    </cfRule>
  </conditionalFormatting>
  <conditionalFormatting sqref="F95:L100">
    <cfRule type="expression" dxfId="426" priority="833">
      <formula>$AF95=2</formula>
    </cfRule>
  </conditionalFormatting>
  <conditionalFormatting sqref="F104:L114">
    <cfRule type="expression" dxfId="425" priority="798">
      <formula>$AF104=2</formula>
    </cfRule>
  </conditionalFormatting>
  <conditionalFormatting sqref="F118:L144">
    <cfRule type="expression" dxfId="424" priority="763">
      <formula>$AF118=2</formula>
    </cfRule>
  </conditionalFormatting>
  <conditionalFormatting sqref="U148:Z159">
    <cfRule type="expression" dxfId="423" priority="728">
      <formula>$AF148=2</formula>
    </cfRule>
  </conditionalFormatting>
  <conditionalFormatting sqref="U163:Z171 U173:Z191">
    <cfRule type="expression" dxfId="422" priority="693">
      <formula>$AF163=2</formula>
    </cfRule>
  </conditionalFormatting>
  <conditionalFormatting sqref="U195:Z208">
    <cfRule type="expression" dxfId="421" priority="658">
      <formula>$AF195=2</formula>
    </cfRule>
  </conditionalFormatting>
  <conditionalFormatting sqref="U212:Z225">
    <cfRule type="expression" dxfId="420" priority="623">
      <formula>$AF212=2</formula>
    </cfRule>
  </conditionalFormatting>
  <conditionalFormatting sqref="J117:L117">
    <cfRule type="expression" dxfId="419" priority="600">
      <formula>$AF117=2</formula>
    </cfRule>
  </conditionalFormatting>
  <conditionalFormatting sqref="E116:L116">
    <cfRule type="expression" dxfId="418" priority="571">
      <formula>$AF116=2</formula>
    </cfRule>
  </conditionalFormatting>
  <conditionalFormatting sqref="F115:L115">
    <cfRule type="expression" dxfId="417" priority="554">
      <formula>$AF115=2</formula>
    </cfRule>
  </conditionalFormatting>
  <conditionalFormatting sqref="J147:L147">
    <cfRule type="expression" dxfId="416" priority="543">
      <formula>$AF147=2</formula>
    </cfRule>
  </conditionalFormatting>
  <conditionalFormatting sqref="E146:L146">
    <cfRule type="expression" dxfId="415" priority="497">
      <formula>$AF146=2</formula>
    </cfRule>
  </conditionalFormatting>
  <conditionalFormatting sqref="F145:L145">
    <cfRule type="expression" dxfId="414" priority="480">
      <formula>$AF145=2</formula>
    </cfRule>
  </conditionalFormatting>
  <conditionalFormatting sqref="J162:L162">
    <cfRule type="expression" dxfId="413" priority="469">
      <formula>$AF162=2</formula>
    </cfRule>
  </conditionalFormatting>
  <conditionalFormatting sqref="E161:L161">
    <cfRule type="expression" dxfId="412" priority="406">
      <formula>$AF161=2</formula>
    </cfRule>
  </conditionalFormatting>
  <conditionalFormatting sqref="J194:L194">
    <cfRule type="expression" dxfId="411" priority="401">
      <formula>$AF194=2</formula>
    </cfRule>
  </conditionalFormatting>
  <conditionalFormatting sqref="E193:L193">
    <cfRule type="expression" dxfId="410" priority="338">
      <formula>$AF193=2</formula>
    </cfRule>
  </conditionalFormatting>
  <conditionalFormatting sqref="F160:L160">
    <cfRule type="expression" dxfId="409" priority="321">
      <formula>$AF160=2</formula>
    </cfRule>
  </conditionalFormatting>
  <conditionalFormatting sqref="F192:L192">
    <cfRule type="expression" dxfId="408" priority="298">
      <formula>$AF192=2</formula>
    </cfRule>
  </conditionalFormatting>
  <conditionalFormatting sqref="J211:L211">
    <cfRule type="expression" dxfId="407" priority="287">
      <formula>$AF211=2</formula>
    </cfRule>
  </conditionalFormatting>
  <conditionalFormatting sqref="E210:L210">
    <cfRule type="expression" dxfId="406" priority="224">
      <formula>$AF210=2</formula>
    </cfRule>
  </conditionalFormatting>
  <conditionalFormatting sqref="F209:L209">
    <cfRule type="expression" dxfId="405" priority="207">
      <formula>$AF209=2</formula>
    </cfRule>
  </conditionalFormatting>
  <conditionalFormatting sqref="F226:L226">
    <cfRule type="expression" dxfId="404" priority="184">
      <formula>$AF226=2</formula>
    </cfRule>
  </conditionalFormatting>
  <conditionalFormatting sqref="F71:L71">
    <cfRule type="expression" dxfId="403" priority="161">
      <formula>$AF71=2</formula>
    </cfRule>
  </conditionalFormatting>
  <conditionalFormatting sqref="D102 D36 D64 D93">
    <cfRule type="expression" dxfId="402" priority="140">
      <formula>$AF36=2</formula>
    </cfRule>
  </conditionalFormatting>
  <conditionalFormatting sqref="D116">
    <cfRule type="expression" dxfId="401" priority="139">
      <formula>$AF116=2</formula>
    </cfRule>
  </conditionalFormatting>
  <conditionalFormatting sqref="D146">
    <cfRule type="expression" dxfId="400" priority="138">
      <formula>$AF146=2</formula>
    </cfRule>
  </conditionalFormatting>
  <conditionalFormatting sqref="D161">
    <cfRule type="expression" dxfId="399" priority="137">
      <formula>$AF161=2</formula>
    </cfRule>
  </conditionalFormatting>
  <conditionalFormatting sqref="D193">
    <cfRule type="expression" dxfId="398" priority="136">
      <formula>$AF193=2</formula>
    </cfRule>
  </conditionalFormatting>
  <conditionalFormatting sqref="D210">
    <cfRule type="expression" dxfId="397" priority="135">
      <formula>$AF210=2</formula>
    </cfRule>
  </conditionalFormatting>
  <conditionalFormatting sqref="N40:S40 U40:AB40">
    <cfRule type="expression" dxfId="396" priority="132">
      <formula>$AF40=2</formula>
    </cfRule>
  </conditionalFormatting>
  <conditionalFormatting sqref="F40:L40">
    <cfRule type="expression" dxfId="395" priority="114">
      <formula>$AF40=2</formula>
    </cfRule>
  </conditionalFormatting>
  <conditionalFormatting sqref="Q11:R11 X11:Y11 Q95:R100 X95:Y100 Q104:R114 X104:Y114 Q118:R144 X118:Y144 Q148:R159 X148:Y159 Q163:R171 X163:Y171 Q195:R208 X195:Y208 Q212:R225 X212:Y225 Q38:R62 X38:Y62 J173:K226 X173:Y191 Q173:R191 J10:K171 X66:Y91 Q66:R91">
    <cfRule type="expression" dxfId="394" priority="7020">
      <formula>#REF!=4</formula>
    </cfRule>
    <cfRule type="expression" dxfId="393" priority="7021">
      <formula>#REF!=3</formula>
    </cfRule>
    <cfRule type="expression" dxfId="392" priority="7022">
      <formula>#REF!=2</formula>
    </cfRule>
    <cfRule type="expression" dxfId="391" priority="7023">
      <formula>#REF!=1</formula>
    </cfRule>
  </conditionalFormatting>
  <conditionalFormatting sqref="Q173:R226 Q10:R171">
    <cfRule type="expression" dxfId="390" priority="7036">
      <formula>#REF!=4</formula>
    </cfRule>
    <cfRule type="expression" dxfId="389" priority="7037">
      <formula>#REF!=3</formula>
    </cfRule>
    <cfRule type="expression" dxfId="388" priority="7038">
      <formula>#REF!=2</formula>
    </cfRule>
    <cfRule type="expression" dxfId="387" priority="7039">
      <formula>#REF!=1</formula>
    </cfRule>
  </conditionalFormatting>
  <conditionalFormatting sqref="X173:Y226 X10:Y171">
    <cfRule type="expression" dxfId="386" priority="7044">
      <formula>#REF!=4</formula>
    </cfRule>
    <cfRule type="expression" dxfId="385" priority="7045">
      <formula>#REF!=3</formula>
    </cfRule>
    <cfRule type="expression" dxfId="384" priority="7046">
      <formula>#REF!=2</formula>
    </cfRule>
    <cfRule type="expression" dxfId="383" priority="7047">
      <formula>#REF!=1</formula>
    </cfRule>
  </conditionalFormatting>
  <conditionalFormatting sqref="K173:K226 K11:K171">
    <cfRule type="expression" dxfId="382" priority="85">
      <formula>K11=$AH$12</formula>
    </cfRule>
    <cfRule type="expression" dxfId="381" priority="86">
      <formula>K11=$AH$11</formula>
    </cfRule>
    <cfRule type="expression" dxfId="380" priority="93">
      <formula>K11=$AH$10</formula>
    </cfRule>
  </conditionalFormatting>
  <conditionalFormatting sqref="R173:R226 R11:R171">
    <cfRule type="expression" dxfId="379" priority="90">
      <formula>R11=$AH$12</formula>
    </cfRule>
    <cfRule type="expression" dxfId="378" priority="91">
      <formula>R11=$AH$11</formula>
    </cfRule>
    <cfRule type="expression" dxfId="377" priority="92">
      <formula>R11=$AH$10</formula>
    </cfRule>
  </conditionalFormatting>
  <conditionalFormatting sqref="Y173:Y226">
    <cfRule type="expression" dxfId="376" priority="87">
      <formula>Y1048535=$AH$12</formula>
    </cfRule>
    <cfRule type="expression" dxfId="375" priority="88">
      <formula>Y1048535=$AH$11</formula>
    </cfRule>
    <cfRule type="expression" dxfId="374" priority="89">
      <formula>Y1048535=$AH$10</formula>
    </cfRule>
  </conditionalFormatting>
  <conditionalFormatting sqref="Y72:Y171">
    <cfRule type="expression" dxfId="373" priority="7096">
      <formula>Y1048435=$AH$12</formula>
    </cfRule>
    <cfRule type="expression" dxfId="372" priority="7097">
      <formula>Y1048435=$AH$11</formula>
    </cfRule>
    <cfRule type="expression" dxfId="371" priority="7098">
      <formula>Y1048435=$AH$10</formula>
    </cfRule>
  </conditionalFormatting>
  <conditionalFormatting sqref="F172:L172 AA172:AB172 N172:S172">
    <cfRule type="expression" dxfId="370" priority="67">
      <formula>$AF172=2</formula>
    </cfRule>
  </conditionalFormatting>
  <conditionalFormatting sqref="U172:Z172">
    <cfRule type="expression" dxfId="369" priority="61">
      <formula>$AF172=2</formula>
    </cfRule>
  </conditionalFormatting>
  <conditionalFormatting sqref="Q172:R172 X172:Y172 J172:K172">
    <cfRule type="expression" dxfId="368" priority="70">
      <formula>#REF!=4</formula>
    </cfRule>
    <cfRule type="expression" dxfId="367" priority="71">
      <formula>#REF!=3</formula>
    </cfRule>
    <cfRule type="expression" dxfId="366" priority="72">
      <formula>#REF!=2</formula>
    </cfRule>
    <cfRule type="expression" dxfId="365" priority="73">
      <formula>#REF!=1</formula>
    </cfRule>
  </conditionalFormatting>
  <conditionalFormatting sqref="Q172:R172">
    <cfRule type="expression" dxfId="364" priority="74">
      <formula>#REF!=4</formula>
    </cfRule>
    <cfRule type="expression" dxfId="363" priority="75">
      <formula>#REF!=3</formula>
    </cfRule>
    <cfRule type="expression" dxfId="362" priority="76">
      <formula>#REF!=2</formula>
    </cfRule>
    <cfRule type="expression" dxfId="361" priority="77">
      <formula>#REF!=1</formula>
    </cfRule>
  </conditionalFormatting>
  <conditionalFormatting sqref="X172:Y172">
    <cfRule type="expression" dxfId="360" priority="78">
      <formula>#REF!=4</formula>
    </cfRule>
    <cfRule type="expression" dxfId="359" priority="79">
      <formula>#REF!=3</formula>
    </cfRule>
    <cfRule type="expression" dxfId="358" priority="80">
      <formula>#REF!=2</formula>
    </cfRule>
    <cfRule type="expression" dxfId="357" priority="81">
      <formula>#REF!=1</formula>
    </cfRule>
  </conditionalFormatting>
  <conditionalFormatting sqref="K172">
    <cfRule type="expression" dxfId="356" priority="43">
      <formula>K172=$AH$12</formula>
    </cfRule>
    <cfRule type="expression" dxfId="355" priority="44">
      <formula>K172=$AH$11</formula>
    </cfRule>
    <cfRule type="expression" dxfId="354" priority="48">
      <formula>K172=$AH$10</formula>
    </cfRule>
  </conditionalFormatting>
  <conditionalFormatting sqref="R172">
    <cfRule type="expression" dxfId="353" priority="45">
      <formula>R172=$AH$12</formula>
    </cfRule>
    <cfRule type="expression" dxfId="352" priority="46">
      <formula>R172=$AH$11</formula>
    </cfRule>
    <cfRule type="expression" dxfId="351" priority="47">
      <formula>R172=$AH$10</formula>
    </cfRule>
  </conditionalFormatting>
  <conditionalFormatting sqref="Y172">
    <cfRule type="expression" dxfId="350" priority="82">
      <formula>Y1048535=$AH$12</formula>
    </cfRule>
    <cfRule type="expression" dxfId="349" priority="83">
      <formula>Y1048535=$AH$11</formula>
    </cfRule>
    <cfRule type="expression" dxfId="348" priority="84">
      <formula>Y1048535=$AH$10</formula>
    </cfRule>
  </conditionalFormatting>
  <conditionalFormatting sqref="Y11:Y71">
    <cfRule type="expression" dxfId="347" priority="7099">
      <formula>Y1048374=$AH$12</formula>
    </cfRule>
    <cfRule type="expression" dxfId="346" priority="7100">
      <formula>Y1048374=$AH$11</formula>
    </cfRule>
    <cfRule type="expression" dxfId="345" priority="7101">
      <formula>Y1048374=$AH$10</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6"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627" id="{B963291B-988D-4012-8C32-6BE515380621}">
            <xm:f>$S$8='Assessment Details'!$Q$23</xm:f>
            <x14:dxf>
              <font>
                <color theme="0"/>
              </font>
              <fill>
                <patternFill>
                  <bgColor theme="0"/>
                </patternFill>
              </fill>
              <border>
                <vertical/>
                <horizontal/>
              </border>
            </x14:dxf>
          </x14:cfRule>
          <xm:sqref>AB100:AB102 AB95:AB98 AB209:AB223 AB11:AB36 AB38:AB39 AB104:AB115 AB117:AB144 AB146:AB158 AB160:AB171 AB192:AB207 N10:S37 N64:S65 N93:S94 N102:S103 G72:G91 N72:S91 U72:U91 W72:W91 AB41:AB64 AB173:AB190 AB66:AB93 N2:Z2</xm:sqref>
        </x14:conditionalFormatting>
        <x14:conditionalFormatting xmlns:xm="http://schemas.microsoft.com/office/excel/2006/main">
          <x14:cfRule type="expression" priority="1626" id="{D6CE8378-0295-43A4-B4D2-FF97977D5B54}">
            <xm:f>$S$8='Assessment Details'!$Q$23</xm:f>
            <x14:dxf>
              <border>
                <left style="thin">
                  <color theme="0"/>
                </left>
                <right style="thin">
                  <color theme="0"/>
                </right>
                <top style="thin">
                  <color theme="0"/>
                </top>
                <bottom style="thin">
                  <color theme="0"/>
                </bottom>
                <vertical/>
                <horizontal/>
              </border>
            </x14:dxf>
          </x14:cfRule>
          <xm:sqref>AB100:AB102 AB95:AB98 AB209:AB223 AB11:AB36 AB38:AB39 AB104:AB115 AB117:AB144 AB146:AB158 AB160:AB171 AB192:AB207 N10:S37 N64:S65 N93:S94 N102:S103 G72:G91 N72:S91 U72:U91 W72:W91 AB41:AB64 AB173:AB190 AB66:AB93 N2:Z2</xm:sqref>
        </x14:conditionalFormatting>
        <x14:conditionalFormatting xmlns:xm="http://schemas.microsoft.com/office/excel/2006/main">
          <x14:cfRule type="expression" priority="1206" id="{D4A1FB8B-9A6F-4D5A-87DE-8437C2FEA5F4}">
            <xm:f>$S$8='Assessment Details'!$Q$23</xm:f>
            <x14:dxf>
              <font>
                <color theme="0"/>
              </font>
              <fill>
                <patternFill>
                  <bgColor theme="0"/>
                </patternFill>
              </fill>
              <border>
                <vertical/>
                <horizontal/>
              </border>
            </x14:dxf>
          </x14:cfRule>
          <xm:sqref>AB99</xm:sqref>
        </x14:conditionalFormatting>
        <x14:conditionalFormatting xmlns:xm="http://schemas.microsoft.com/office/excel/2006/main">
          <x14:cfRule type="expression" priority="1205" id="{702E3ADF-3980-4B25-89A5-EF096DCCD8F6}">
            <xm:f>$S$8='Assessment Details'!$Q$23</xm:f>
            <x14:dxf>
              <border>
                <left style="thin">
                  <color theme="0"/>
                </left>
                <right style="thin">
                  <color theme="0"/>
                </right>
                <top style="thin">
                  <color theme="0"/>
                </top>
                <bottom style="thin">
                  <color theme="0"/>
                </bottom>
                <vertical/>
                <horizontal/>
              </border>
            </x14:dxf>
          </x14:cfRule>
          <xm:sqref>AB99</xm:sqref>
        </x14:conditionalFormatting>
        <x14:conditionalFormatting xmlns:xm="http://schemas.microsoft.com/office/excel/2006/main">
          <x14:cfRule type="expression" priority="1203" id="{258B7964-1DDD-42CC-8176-865BF7F43F24}">
            <xm:f>$S$8='Assessment Details'!$Q$23</xm:f>
            <x14:dxf>
              <font>
                <color theme="0"/>
              </font>
              <fill>
                <patternFill>
                  <bgColor theme="0"/>
                </patternFill>
              </fill>
              <border>
                <vertical/>
                <horizontal/>
              </border>
            </x14:dxf>
          </x14:cfRule>
          <xm:sqref>AB10</xm:sqref>
        </x14:conditionalFormatting>
        <x14:conditionalFormatting xmlns:xm="http://schemas.microsoft.com/office/excel/2006/main">
          <x14:cfRule type="expression" priority="1202" id="{7BB3A65E-2FFF-4780-BA07-E396F8C92B2F}">
            <xm:f>$S$8='Assessment Details'!$Q$23</xm:f>
            <x14:dxf>
              <border>
                <left style="thin">
                  <color theme="0"/>
                </left>
                <right style="thin">
                  <color theme="0"/>
                </right>
                <top style="thin">
                  <color theme="0"/>
                </top>
                <bottom style="thin">
                  <color theme="0"/>
                </bottom>
                <vertical/>
                <horizontal/>
              </border>
            </x14:dxf>
          </x14:cfRule>
          <xm:sqref>AB10</xm:sqref>
        </x14:conditionalFormatting>
        <x14:conditionalFormatting xmlns:xm="http://schemas.microsoft.com/office/excel/2006/main">
          <x14:cfRule type="expression" priority="1200" id="{779EE763-74DF-4BD9-9F1F-3F97AD73E70F}">
            <xm:f>$S$8='Assessment Details'!$Q$23</xm:f>
            <x14:dxf>
              <font>
                <color theme="0"/>
              </font>
              <fill>
                <patternFill>
                  <bgColor theme="0"/>
                </patternFill>
              </fill>
              <border>
                <vertical/>
                <horizontal/>
              </border>
            </x14:dxf>
          </x14:cfRule>
          <xm:sqref>AB37</xm:sqref>
        </x14:conditionalFormatting>
        <x14:conditionalFormatting xmlns:xm="http://schemas.microsoft.com/office/excel/2006/main">
          <x14:cfRule type="expression" priority="1199" id="{F92D0C3A-CBEC-4FCE-86A8-17D840D00825}">
            <xm:f>$S$8='Assessment Details'!$Q$23</xm:f>
            <x14:dxf>
              <border>
                <left style="thin">
                  <color theme="0"/>
                </left>
                <right style="thin">
                  <color theme="0"/>
                </right>
                <top style="thin">
                  <color theme="0"/>
                </top>
                <bottom style="thin">
                  <color theme="0"/>
                </bottom>
                <vertical/>
                <horizontal/>
              </border>
            </x14:dxf>
          </x14:cfRule>
          <xm:sqref>AB37</xm:sqref>
        </x14:conditionalFormatting>
        <x14:conditionalFormatting xmlns:xm="http://schemas.microsoft.com/office/excel/2006/main">
          <x14:cfRule type="expression" priority="1197" id="{027B81C1-6272-451D-B4B8-47058050C058}">
            <xm:f>$S$8='Assessment Details'!$Q$23</xm:f>
            <x14:dxf>
              <font>
                <color theme="0"/>
              </font>
              <fill>
                <patternFill>
                  <bgColor theme="0"/>
                </patternFill>
              </fill>
              <border>
                <vertical/>
                <horizontal/>
              </border>
            </x14:dxf>
          </x14:cfRule>
          <xm:sqref>AB65</xm:sqref>
        </x14:conditionalFormatting>
        <x14:conditionalFormatting xmlns:xm="http://schemas.microsoft.com/office/excel/2006/main">
          <x14:cfRule type="expression" priority="1196" id="{4D3B5EA4-9B11-4F47-A1E2-053463420900}">
            <xm:f>$S$8='Assessment Details'!$Q$23</xm:f>
            <x14:dxf>
              <border>
                <left style="thin">
                  <color theme="0"/>
                </left>
                <right style="thin">
                  <color theme="0"/>
                </right>
                <top style="thin">
                  <color theme="0"/>
                </top>
                <bottom style="thin">
                  <color theme="0"/>
                </bottom>
                <vertical/>
                <horizontal/>
              </border>
            </x14:dxf>
          </x14:cfRule>
          <xm:sqref>AB65</xm:sqref>
        </x14:conditionalFormatting>
        <x14:conditionalFormatting xmlns:xm="http://schemas.microsoft.com/office/excel/2006/main">
          <x14:cfRule type="expression" priority="1194" id="{D1977690-7C99-4F9A-A385-8225523AE7C5}">
            <xm:f>$S$8='Assessment Details'!$Q$23</xm:f>
            <x14:dxf>
              <font>
                <color theme="0"/>
              </font>
              <fill>
                <patternFill>
                  <bgColor theme="0"/>
                </patternFill>
              </fill>
              <border>
                <vertical/>
                <horizontal/>
              </border>
            </x14:dxf>
          </x14:cfRule>
          <xm:sqref>AB94</xm:sqref>
        </x14:conditionalFormatting>
        <x14:conditionalFormatting xmlns:xm="http://schemas.microsoft.com/office/excel/2006/main">
          <x14:cfRule type="expression" priority="1193" id="{02B16B7F-9900-4D08-AD13-3051DACA57E6}">
            <xm:f>$S$8='Assessment Details'!$Q$23</xm:f>
            <x14:dxf>
              <border>
                <left style="thin">
                  <color theme="0"/>
                </left>
                <right style="thin">
                  <color theme="0"/>
                </right>
                <top style="thin">
                  <color theme="0"/>
                </top>
                <bottom style="thin">
                  <color theme="0"/>
                </bottom>
                <vertical/>
                <horizontal/>
              </border>
            </x14:dxf>
          </x14:cfRule>
          <xm:sqref>AB94</xm:sqref>
        </x14:conditionalFormatting>
        <x14:conditionalFormatting xmlns:xm="http://schemas.microsoft.com/office/excel/2006/main">
          <x14:cfRule type="expression" priority="1191" id="{851B2D0E-EE59-432B-86AE-4FC98C58D018}">
            <xm:f>$S$8='Assessment Details'!$Q$23</xm:f>
            <x14:dxf>
              <font>
                <color theme="0"/>
              </font>
              <fill>
                <patternFill>
                  <bgColor theme="0"/>
                </patternFill>
              </fill>
              <border>
                <vertical/>
                <horizontal/>
              </border>
            </x14:dxf>
          </x14:cfRule>
          <xm:sqref>AB103</xm:sqref>
        </x14:conditionalFormatting>
        <x14:conditionalFormatting xmlns:xm="http://schemas.microsoft.com/office/excel/2006/main">
          <x14:cfRule type="expression" priority="1190" id="{AF11453C-7B9A-47F5-A23D-103B7E6120F5}">
            <xm:f>$S$8='Assessment Details'!$Q$23</xm:f>
            <x14:dxf>
              <border>
                <left style="thin">
                  <color theme="0"/>
                </left>
                <right style="thin">
                  <color theme="0"/>
                </right>
                <top style="thin">
                  <color theme="0"/>
                </top>
                <bottom style="thin">
                  <color theme="0"/>
                </bottom>
                <vertical/>
                <horizontal/>
              </border>
            </x14:dxf>
          </x14:cfRule>
          <xm:sqref>AB103</xm:sqref>
        </x14:conditionalFormatting>
        <x14:conditionalFormatting xmlns:xm="http://schemas.microsoft.com/office/excel/2006/main">
          <x14:cfRule type="expression" priority="1188" id="{BDA04989-118F-431C-9128-402229EDB742}">
            <xm:f>$S$8='Assessment Details'!$Q$23</xm:f>
            <x14:dxf>
              <font>
                <color theme="0"/>
              </font>
              <fill>
                <patternFill>
                  <bgColor theme="0"/>
                </patternFill>
              </fill>
              <border>
                <vertical/>
                <horizontal/>
              </border>
            </x14:dxf>
          </x14:cfRule>
          <xm:sqref>AB116</xm:sqref>
        </x14:conditionalFormatting>
        <x14:conditionalFormatting xmlns:xm="http://schemas.microsoft.com/office/excel/2006/main">
          <x14:cfRule type="expression" priority="1187" id="{DD27F743-136F-4F86-96CC-24A0C7078F4D}">
            <xm:f>$S$8='Assessment Details'!$Q$23</xm:f>
            <x14:dxf>
              <border>
                <left style="thin">
                  <color theme="0"/>
                </left>
                <right style="thin">
                  <color theme="0"/>
                </right>
                <top style="thin">
                  <color theme="0"/>
                </top>
                <bottom style="thin">
                  <color theme="0"/>
                </bottom>
                <vertical/>
                <horizontal/>
              </border>
            </x14:dxf>
          </x14:cfRule>
          <xm:sqref>AB116</xm:sqref>
        </x14:conditionalFormatting>
        <x14:conditionalFormatting xmlns:xm="http://schemas.microsoft.com/office/excel/2006/main">
          <x14:cfRule type="expression" priority="1185" id="{FF303370-E145-4234-90FB-DE980C45532D}">
            <xm:f>$S$8='Assessment Details'!$Q$23</xm:f>
            <x14:dxf>
              <font>
                <color theme="0"/>
              </font>
              <fill>
                <patternFill>
                  <bgColor theme="0"/>
                </patternFill>
              </fill>
              <border>
                <vertical/>
                <horizontal/>
              </border>
            </x14:dxf>
          </x14:cfRule>
          <xm:sqref>AB145</xm:sqref>
        </x14:conditionalFormatting>
        <x14:conditionalFormatting xmlns:xm="http://schemas.microsoft.com/office/excel/2006/main">
          <x14:cfRule type="expression" priority="1184" id="{2632A259-519C-48E3-8FBB-B6242A1337A6}">
            <xm:f>$S$8='Assessment Details'!$Q$23</xm:f>
            <x14:dxf>
              <border>
                <left style="thin">
                  <color theme="0"/>
                </left>
                <right style="thin">
                  <color theme="0"/>
                </right>
                <top style="thin">
                  <color theme="0"/>
                </top>
                <bottom style="thin">
                  <color theme="0"/>
                </bottom>
                <vertical/>
                <horizontal/>
              </border>
            </x14:dxf>
          </x14:cfRule>
          <xm:sqref>AB145</xm:sqref>
        </x14:conditionalFormatting>
        <x14:conditionalFormatting xmlns:xm="http://schemas.microsoft.com/office/excel/2006/main">
          <x14:cfRule type="expression" priority="1182" id="{187E2EFC-BF3D-45C7-925F-2464160CBCBF}">
            <xm:f>$S$8='Assessment Details'!$Q$23</xm:f>
            <x14:dxf>
              <font>
                <color theme="0"/>
              </font>
              <fill>
                <patternFill>
                  <bgColor theme="0"/>
                </patternFill>
              </fill>
              <border>
                <vertical/>
                <horizontal/>
              </border>
            </x14:dxf>
          </x14:cfRule>
          <xm:sqref>AB159</xm:sqref>
        </x14:conditionalFormatting>
        <x14:conditionalFormatting xmlns:xm="http://schemas.microsoft.com/office/excel/2006/main">
          <x14:cfRule type="expression" priority="1181" id="{3C5F7B95-E605-4AD1-9B8A-92CCF8687D8A}">
            <xm:f>$S$8='Assessment Details'!$Q$23</xm:f>
            <x14:dxf>
              <border>
                <left style="thin">
                  <color theme="0"/>
                </left>
                <right style="thin">
                  <color theme="0"/>
                </right>
                <top style="thin">
                  <color theme="0"/>
                </top>
                <bottom style="thin">
                  <color theme="0"/>
                </bottom>
                <vertical/>
                <horizontal/>
              </border>
            </x14:dxf>
          </x14:cfRule>
          <xm:sqref>AB159</xm:sqref>
        </x14:conditionalFormatting>
        <x14:conditionalFormatting xmlns:xm="http://schemas.microsoft.com/office/excel/2006/main">
          <x14:cfRule type="expression" priority="1179" id="{8312C7E2-5FCA-405D-A25A-378E6A65001A}">
            <xm:f>$S$8='Assessment Details'!$Q$23</xm:f>
            <x14:dxf>
              <font>
                <color theme="0"/>
              </font>
              <fill>
                <patternFill>
                  <bgColor theme="0"/>
                </patternFill>
              </fill>
              <border>
                <vertical/>
                <horizontal/>
              </border>
            </x14:dxf>
          </x14:cfRule>
          <xm:sqref>AB191</xm:sqref>
        </x14:conditionalFormatting>
        <x14:conditionalFormatting xmlns:xm="http://schemas.microsoft.com/office/excel/2006/main">
          <x14:cfRule type="expression" priority="1178" id="{2ABA13B5-80B7-40DC-BBE5-C00321C31963}">
            <xm:f>$S$8='Assessment Details'!$Q$23</xm:f>
            <x14:dxf>
              <border>
                <left style="thin">
                  <color theme="0"/>
                </left>
                <right style="thin">
                  <color theme="0"/>
                </right>
                <top style="thin">
                  <color theme="0"/>
                </top>
                <bottom style="thin">
                  <color theme="0"/>
                </bottom>
                <vertical/>
                <horizontal/>
              </border>
            </x14:dxf>
          </x14:cfRule>
          <xm:sqref>AB191</xm:sqref>
        </x14:conditionalFormatting>
        <x14:conditionalFormatting xmlns:xm="http://schemas.microsoft.com/office/excel/2006/main">
          <x14:cfRule type="expression" priority="1176" id="{A6D317C5-B5ED-435A-990C-B88E15394D9C}">
            <xm:f>$S$8='Assessment Details'!$Q$23</xm:f>
            <x14:dxf>
              <font>
                <color theme="0"/>
              </font>
              <fill>
                <patternFill>
                  <bgColor theme="0"/>
                </patternFill>
              </fill>
              <border>
                <vertical/>
                <horizontal/>
              </border>
            </x14:dxf>
          </x14:cfRule>
          <xm:sqref>AB208</xm:sqref>
        </x14:conditionalFormatting>
        <x14:conditionalFormatting xmlns:xm="http://schemas.microsoft.com/office/excel/2006/main">
          <x14:cfRule type="expression" priority="1175" id="{94E5855F-7FDC-4C62-97F8-C2DC96E16261}">
            <xm:f>$S$8='Assessment Details'!$Q$23</xm:f>
            <x14:dxf>
              <border>
                <left style="thin">
                  <color theme="0"/>
                </left>
                <right style="thin">
                  <color theme="0"/>
                </right>
                <top style="thin">
                  <color theme="0"/>
                </top>
                <bottom style="thin">
                  <color theme="0"/>
                </bottom>
                <vertical/>
                <horizontal/>
              </border>
            </x14:dxf>
          </x14:cfRule>
          <xm:sqref>AB208</xm:sqref>
        </x14:conditionalFormatting>
        <x14:conditionalFormatting xmlns:xm="http://schemas.microsoft.com/office/excel/2006/main">
          <x14:cfRule type="expression" priority="1174" id="{CA85C2F4-B3B6-4EDC-AAA8-13898B5EA085}">
            <xm:f>'Pre-Assessment Estimator'!$AJ$4=ais_nei</xm:f>
            <x14:dxf>
              <font>
                <color theme="0"/>
              </font>
              <fill>
                <patternFill>
                  <bgColor theme="0"/>
                </patternFill>
              </fill>
              <border>
                <left/>
                <right/>
                <top/>
                <bottom/>
                <vertical/>
                <horizontal/>
              </border>
            </x14:dxf>
          </x14:cfRule>
          <xm:sqref>AB10:AB39 AB173:AB223 AB41:AB171</xm:sqref>
        </x14:conditionalFormatting>
        <x14:conditionalFormatting xmlns:xm="http://schemas.microsoft.com/office/excel/2006/main">
          <x14:cfRule type="expression" priority="1165" id="{91A40F5D-EE13-49A1-A431-4C7B3D2E9120}">
            <xm:f>$S$8='Assessment Details'!$Q$23</xm:f>
            <x14:dxf>
              <font>
                <color theme="0"/>
              </font>
              <fill>
                <patternFill>
                  <bgColor theme="0"/>
                </patternFill>
              </fill>
              <border>
                <vertical/>
                <horizontal/>
              </border>
            </x14:dxf>
          </x14:cfRule>
          <xm:sqref>G11:G35</xm:sqref>
        </x14:conditionalFormatting>
        <x14:conditionalFormatting xmlns:xm="http://schemas.microsoft.com/office/excel/2006/main">
          <x14:cfRule type="expression" priority="1164" id="{25BB7F43-1C6E-4013-94FE-A8FA867514C0}">
            <xm:f>$S$8='Assessment Details'!$Q$23</xm:f>
            <x14:dxf>
              <border>
                <left style="thin">
                  <color theme="0"/>
                </left>
                <right style="thin">
                  <color theme="0"/>
                </right>
                <top style="thin">
                  <color theme="0"/>
                </top>
                <bottom style="thin">
                  <color theme="0"/>
                </bottom>
                <vertical/>
                <horizontal/>
              </border>
            </x14:dxf>
          </x14:cfRule>
          <xm:sqref>G11:G35</xm:sqref>
        </x14:conditionalFormatting>
        <x14:conditionalFormatting xmlns:xm="http://schemas.microsoft.com/office/excel/2006/main">
          <x14:cfRule type="expression" priority="1163" id="{8CAF9B23-775E-4F2C-B1CB-447B2061AE74}">
            <xm:f>$S$8='Assessment Details'!$Q$23</xm:f>
            <x14:dxf>
              <font>
                <color theme="0"/>
              </font>
              <fill>
                <patternFill>
                  <bgColor theme="0"/>
                </patternFill>
              </fill>
              <border>
                <vertical/>
                <horizontal/>
              </border>
            </x14:dxf>
          </x14:cfRule>
          <xm:sqref>U11:U35</xm:sqref>
        </x14:conditionalFormatting>
        <x14:conditionalFormatting xmlns:xm="http://schemas.microsoft.com/office/excel/2006/main">
          <x14:cfRule type="expression" priority="1162" id="{3DF2DC78-BBCF-4376-A8AD-D065CD3831D1}">
            <xm:f>$S$8='Assessment Details'!$Q$23</xm:f>
            <x14:dxf>
              <border>
                <left style="thin">
                  <color theme="0"/>
                </left>
                <right style="thin">
                  <color theme="0"/>
                </right>
                <top style="thin">
                  <color theme="0"/>
                </top>
                <bottom style="thin">
                  <color theme="0"/>
                </bottom>
                <vertical/>
                <horizontal/>
              </border>
            </x14:dxf>
          </x14:cfRule>
          <xm:sqref>U11:U35</xm:sqref>
        </x14:conditionalFormatting>
        <x14:conditionalFormatting xmlns:xm="http://schemas.microsoft.com/office/excel/2006/main">
          <x14:cfRule type="expression" priority="1157" id="{1BC73C47-1758-4EB7-86BE-2E2AD60FD100}">
            <xm:f>$S$8='Assessment Details'!$Q$23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156" id="{D2619090-6BDB-4792-A8E2-73C3E3F709E0}">
            <xm:f>$S$8='Assessment Details'!$Q$23</xm:f>
            <x14:dxf>
              <border>
                <left style="thin">
                  <color theme="0"/>
                </left>
                <right style="thin">
                  <color theme="0"/>
                </right>
                <top style="thin">
                  <color theme="0"/>
                </top>
                <bottom style="thin">
                  <color theme="0"/>
                </bottom>
                <vertical/>
                <horizontal/>
              </border>
            </x14:dxf>
          </x14:cfRule>
          <xm:sqref>N11</xm:sqref>
        </x14:conditionalFormatting>
        <x14:conditionalFormatting xmlns:xm="http://schemas.microsoft.com/office/excel/2006/main">
          <x14:cfRule type="expression" priority="1151" id="{66255529-4F29-43F6-BFD1-3ADCBB7A00F0}">
            <xm:f>$S$8='Assessment Details'!$Q$23</xm:f>
            <x14:dxf>
              <font>
                <color theme="0"/>
              </font>
              <fill>
                <patternFill>
                  <bgColor theme="0"/>
                </patternFill>
              </fill>
              <border>
                <vertical/>
                <horizontal/>
              </border>
            </x14:dxf>
          </x14:cfRule>
          <xm:sqref>U11</xm:sqref>
        </x14:conditionalFormatting>
        <x14:conditionalFormatting xmlns:xm="http://schemas.microsoft.com/office/excel/2006/main">
          <x14:cfRule type="expression" priority="1150" id="{786DA6F1-B0B2-44B0-ABD6-7C02B98EB7B2}">
            <xm:f>$S$8='Assessment Details'!$Q$23</xm:f>
            <x14:dxf>
              <border>
                <left style="thin">
                  <color theme="0"/>
                </left>
                <right style="thin">
                  <color theme="0"/>
                </right>
                <top style="thin">
                  <color theme="0"/>
                </top>
                <bottom style="thin">
                  <color theme="0"/>
                </bottom>
                <vertical/>
                <horizontal/>
              </border>
            </x14:dxf>
          </x14:cfRule>
          <xm:sqref>U11</xm:sqref>
        </x14:conditionalFormatting>
        <x14:conditionalFormatting xmlns:xm="http://schemas.microsoft.com/office/excel/2006/main">
          <x14:cfRule type="expression" priority="1149" id="{E8E0CC8E-C1ED-4FB6-B617-50244357E13B}">
            <xm:f>$S$8='Assessment Details'!$Q$23</xm:f>
            <x14:dxf>
              <font>
                <color theme="0"/>
              </font>
              <fill>
                <patternFill>
                  <bgColor theme="0"/>
                </patternFill>
              </fill>
              <border>
                <vertical/>
                <horizontal/>
              </border>
            </x14:dxf>
          </x14:cfRule>
          <xm:sqref>W11:W35</xm:sqref>
        </x14:conditionalFormatting>
        <x14:conditionalFormatting xmlns:xm="http://schemas.microsoft.com/office/excel/2006/main">
          <x14:cfRule type="expression" priority="1148" id="{8FA22E55-62A0-4B65-BF55-2B7B3F01900D}">
            <xm:f>$S$8='Assessment Details'!$Q$23</xm:f>
            <x14:dxf>
              <border>
                <left style="thin">
                  <color theme="0"/>
                </left>
                <right style="thin">
                  <color theme="0"/>
                </right>
                <top style="thin">
                  <color theme="0"/>
                </top>
                <bottom style="thin">
                  <color theme="0"/>
                </bottom>
                <vertical/>
                <horizontal/>
              </border>
            </x14:dxf>
          </x14:cfRule>
          <xm:sqref>W11:W35</xm:sqref>
        </x14:conditionalFormatting>
        <x14:conditionalFormatting xmlns:xm="http://schemas.microsoft.com/office/excel/2006/main">
          <x14:cfRule type="expression" priority="7015" id="{DB805B39-675F-4529-AAA9-84C1652FC9E0}">
            <xm:f>$Z$8='Assessment Details'!$Q$23</xm:f>
            <x14:dxf>
              <font>
                <color theme="0"/>
              </font>
              <fill>
                <patternFill>
                  <bgColor theme="0"/>
                </patternFill>
              </fill>
            </x14:dxf>
          </x14:cfRule>
          <xm:sqref>AA2 U10:AA10 U64:Z65 U93:Z94 U102:Z103 U72:Z91 U11:Z37 AA11:AA39 AA173:AA226 AA41:AA171</xm:sqref>
        </x14:conditionalFormatting>
        <x14:conditionalFormatting xmlns:xm="http://schemas.microsoft.com/office/excel/2006/main">
          <x14:cfRule type="expression" priority="7019" id="{6470B74F-A8AF-495C-B6F5-853222BCD4E5}">
            <xm:f>$Z$8='Assessment Details'!$Q$23</xm:f>
            <x14:dxf>
              <border>
                <left style="thin">
                  <color theme="0"/>
                </left>
                <right style="thin">
                  <color theme="0"/>
                </right>
                <top style="thin">
                  <color theme="0"/>
                </top>
                <bottom style="thin">
                  <color theme="0"/>
                </bottom>
                <vertical/>
                <horizontal/>
              </border>
            </x14:dxf>
          </x14:cfRule>
          <xm:sqref>AA2 U10:AA10 U64:Z65 U93:Z94 U102:Z103 U72:Z91 U11:Z37 AA11:AA39 AA173:AA226 AA41:AA171</xm:sqref>
        </x14:conditionalFormatting>
        <x14:conditionalFormatting xmlns:xm="http://schemas.microsoft.com/office/excel/2006/main">
          <x14:cfRule type="expression" priority="1132" id="{2298EEF2-E470-443F-B53F-42C72C43AD19}">
            <xm:f>$S$8='Assessment Details'!$Q$23</xm:f>
            <x14:dxf>
              <font>
                <color theme="0"/>
              </font>
              <fill>
                <patternFill>
                  <bgColor theme="0"/>
                </patternFill>
              </fill>
              <border>
                <vertical/>
                <horizontal/>
              </border>
            </x14:dxf>
          </x14:cfRule>
          <xm:sqref>N63:S63</xm:sqref>
        </x14:conditionalFormatting>
        <x14:conditionalFormatting xmlns:xm="http://schemas.microsoft.com/office/excel/2006/main">
          <x14:cfRule type="expression" priority="1131" id="{F02FCAFD-237A-4971-86FA-60B30CE34A99}">
            <xm:f>$S$8='Assessment Details'!$Q$23</xm:f>
            <x14:dxf>
              <border>
                <left style="thin">
                  <color theme="0"/>
                </left>
                <right style="thin">
                  <color theme="0"/>
                </right>
                <top style="thin">
                  <color theme="0"/>
                </top>
                <bottom style="thin">
                  <color theme="0"/>
                </bottom>
                <vertical/>
                <horizontal/>
              </border>
            </x14:dxf>
          </x14:cfRule>
          <xm:sqref>N63:S63</xm:sqref>
        </x14:conditionalFormatting>
        <x14:conditionalFormatting xmlns:xm="http://schemas.microsoft.com/office/excel/2006/main">
          <x14:cfRule type="expression" priority="1130" id="{74BF6AB4-4ABE-453C-B3E5-BE12679CD5B4}">
            <xm:f>$S$8='Assessment Details'!$Q$23</xm:f>
            <x14:dxf>
              <font>
                <color theme="0"/>
              </font>
              <fill>
                <patternFill>
                  <bgColor theme="0"/>
                </patternFill>
              </fill>
              <border>
                <vertical/>
                <horizontal/>
              </border>
            </x14:dxf>
          </x14:cfRule>
          <xm:sqref>G63</xm:sqref>
        </x14:conditionalFormatting>
        <x14:conditionalFormatting xmlns:xm="http://schemas.microsoft.com/office/excel/2006/main">
          <x14:cfRule type="expression" priority="1129" id="{8B45EB01-FFD3-4C24-88F9-D8238CE5143B}">
            <xm:f>$S$8='Assessment Details'!$Q$23</xm:f>
            <x14:dxf>
              <border>
                <left style="thin">
                  <color theme="0"/>
                </left>
                <right style="thin">
                  <color theme="0"/>
                </right>
                <top style="thin">
                  <color theme="0"/>
                </top>
                <bottom style="thin">
                  <color theme="0"/>
                </bottom>
                <vertical/>
                <horizontal/>
              </border>
            </x14:dxf>
          </x14:cfRule>
          <xm:sqref>G63</xm:sqref>
        </x14:conditionalFormatting>
        <x14:conditionalFormatting xmlns:xm="http://schemas.microsoft.com/office/excel/2006/main">
          <x14:cfRule type="expression" priority="1128" id="{CBF5C216-270B-4918-BA3E-52FA360B4524}">
            <xm:f>$S$8='Assessment Details'!$Q$23</xm:f>
            <x14:dxf>
              <font>
                <color theme="0"/>
              </font>
              <fill>
                <patternFill>
                  <bgColor theme="0"/>
                </patternFill>
              </fill>
              <border>
                <vertical/>
                <horizontal/>
              </border>
            </x14:dxf>
          </x14:cfRule>
          <xm:sqref>U63</xm:sqref>
        </x14:conditionalFormatting>
        <x14:conditionalFormatting xmlns:xm="http://schemas.microsoft.com/office/excel/2006/main">
          <x14:cfRule type="expression" priority="1127" id="{3BA86F3E-1084-48B8-BAE0-F7699C420902}">
            <xm:f>$S$8='Assessment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126" id="{72E64144-6FFD-48BF-A705-7EA30C4EFA31}">
            <xm:f>$S$8='Assessment Details'!$Q$23</xm:f>
            <x14:dxf>
              <font>
                <color theme="0"/>
              </font>
              <fill>
                <patternFill>
                  <bgColor theme="0"/>
                </patternFill>
              </fill>
              <border>
                <vertical/>
                <horizontal/>
              </border>
            </x14:dxf>
          </x14:cfRule>
          <xm:sqref>W63</xm:sqref>
        </x14:conditionalFormatting>
        <x14:conditionalFormatting xmlns:xm="http://schemas.microsoft.com/office/excel/2006/main">
          <x14:cfRule type="expression" priority="1125" id="{5DF2B492-F90B-4162-8AE4-E733DD748AE4}">
            <xm:f>$S$8='Assessment Details'!$Q$23</xm:f>
            <x14:dxf>
              <border>
                <left style="thin">
                  <color theme="0"/>
                </left>
                <right style="thin">
                  <color theme="0"/>
                </right>
                <top style="thin">
                  <color theme="0"/>
                </top>
                <bottom style="thin">
                  <color theme="0"/>
                </bottom>
                <vertical/>
                <horizontal/>
              </border>
            </x14:dxf>
          </x14:cfRule>
          <xm:sqref>W63</xm:sqref>
        </x14:conditionalFormatting>
        <x14:conditionalFormatting xmlns:xm="http://schemas.microsoft.com/office/excel/2006/main">
          <x14:cfRule type="expression" priority="1146" id="{DDE52D2E-1E3C-4979-8EC8-6DEE293965C2}">
            <xm:f>$Z$8='Assessment Details'!$Q$23</xm:f>
            <x14:dxf>
              <font>
                <color theme="0"/>
              </font>
              <fill>
                <patternFill>
                  <bgColor theme="0"/>
                </patternFill>
              </fill>
            </x14:dxf>
          </x14:cfRule>
          <xm:sqref>U63:Z63</xm:sqref>
        </x14:conditionalFormatting>
        <x14:conditionalFormatting xmlns:xm="http://schemas.microsoft.com/office/excel/2006/main">
          <x14:cfRule type="expression" priority="1147" id="{D7372E7F-6A45-4FAB-8CA3-6F4D54C418E7}">
            <xm:f>$Z$8='Assessment Details'!$Q$23</xm:f>
            <x14:dxf>
              <border>
                <left style="thin">
                  <color theme="0"/>
                </left>
                <right style="thin">
                  <color theme="0"/>
                </right>
                <top style="thin">
                  <color theme="0"/>
                </top>
                <bottom style="thin">
                  <color theme="0"/>
                </bottom>
                <vertical/>
                <horizontal/>
              </border>
            </x14:dxf>
          </x14:cfRule>
          <xm:sqref>U63:Z63</xm:sqref>
        </x14:conditionalFormatting>
        <x14:conditionalFormatting xmlns:xm="http://schemas.microsoft.com/office/excel/2006/main">
          <x14:cfRule type="expression" priority="1109" id="{28C3C2BD-E73D-4494-8B6F-8E058FE9734D}">
            <xm:f>$S$8='Assessment Details'!$Q$23</xm:f>
            <x14:dxf>
              <font>
                <color theme="0"/>
              </font>
              <fill>
                <patternFill>
                  <bgColor theme="0"/>
                </patternFill>
              </fill>
              <border>
                <vertical/>
                <horizontal/>
              </border>
            </x14:dxf>
          </x14:cfRule>
          <xm:sqref>N92:S92</xm:sqref>
        </x14:conditionalFormatting>
        <x14:conditionalFormatting xmlns:xm="http://schemas.microsoft.com/office/excel/2006/main">
          <x14:cfRule type="expression" priority="1108" id="{074C1696-F965-4065-A9BB-04540D9CEFC0}">
            <xm:f>$S$8='Assessment Details'!$Q$23</xm:f>
            <x14:dxf>
              <border>
                <left style="thin">
                  <color theme="0"/>
                </left>
                <right style="thin">
                  <color theme="0"/>
                </right>
                <top style="thin">
                  <color theme="0"/>
                </top>
                <bottom style="thin">
                  <color theme="0"/>
                </bottom>
                <vertical/>
                <horizontal/>
              </border>
            </x14:dxf>
          </x14:cfRule>
          <xm:sqref>N92:S92</xm:sqref>
        </x14:conditionalFormatting>
        <x14:conditionalFormatting xmlns:xm="http://schemas.microsoft.com/office/excel/2006/main">
          <x14:cfRule type="expression" priority="1107" id="{27722DD9-AEEA-49F7-8B9E-F80E4399173D}">
            <xm:f>$S$8='Assessment Details'!$Q$23</xm:f>
            <x14:dxf>
              <font>
                <color theme="0"/>
              </font>
              <fill>
                <patternFill>
                  <bgColor theme="0"/>
                </patternFill>
              </fill>
              <border>
                <vertical/>
                <horizontal/>
              </border>
            </x14:dxf>
          </x14:cfRule>
          <xm:sqref>G92</xm:sqref>
        </x14:conditionalFormatting>
        <x14:conditionalFormatting xmlns:xm="http://schemas.microsoft.com/office/excel/2006/main">
          <x14:cfRule type="expression" priority="1106" id="{DDFAADA0-5956-48C0-BB4B-E4386CCFDE34}">
            <xm:f>$S$8='Assessment Details'!$Q$23</xm:f>
            <x14:dxf>
              <border>
                <left style="thin">
                  <color theme="0"/>
                </left>
                <right style="thin">
                  <color theme="0"/>
                </right>
                <top style="thin">
                  <color theme="0"/>
                </top>
                <bottom style="thin">
                  <color theme="0"/>
                </bottom>
                <vertical/>
                <horizontal/>
              </border>
            </x14:dxf>
          </x14:cfRule>
          <xm:sqref>G92</xm:sqref>
        </x14:conditionalFormatting>
        <x14:conditionalFormatting xmlns:xm="http://schemas.microsoft.com/office/excel/2006/main">
          <x14:cfRule type="expression" priority="1105" id="{7626F755-BD30-4B95-8FF9-61BB470D4AE5}">
            <xm:f>$S$8='Assessment Details'!$Q$23</xm:f>
            <x14:dxf>
              <font>
                <color theme="0"/>
              </font>
              <fill>
                <patternFill>
                  <bgColor theme="0"/>
                </patternFill>
              </fill>
              <border>
                <vertical/>
                <horizontal/>
              </border>
            </x14:dxf>
          </x14:cfRule>
          <xm:sqref>U92</xm:sqref>
        </x14:conditionalFormatting>
        <x14:conditionalFormatting xmlns:xm="http://schemas.microsoft.com/office/excel/2006/main">
          <x14:cfRule type="expression" priority="1104" id="{9C1229C9-1672-47D2-ADE6-9A30C3F01FB3}">
            <xm:f>$S$8='Assessment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1103" id="{A0B802F6-4141-411F-848C-73D4DE6FF722}">
            <xm:f>$S$8='Assessment Details'!$Q$23</xm:f>
            <x14:dxf>
              <font>
                <color theme="0"/>
              </font>
              <fill>
                <patternFill>
                  <bgColor theme="0"/>
                </patternFill>
              </fill>
              <border>
                <vertical/>
                <horizontal/>
              </border>
            </x14:dxf>
          </x14:cfRule>
          <xm:sqref>W92</xm:sqref>
        </x14:conditionalFormatting>
        <x14:conditionalFormatting xmlns:xm="http://schemas.microsoft.com/office/excel/2006/main">
          <x14:cfRule type="expression" priority="1102" id="{F02BC133-491D-402D-AC41-2A263B5F9395}">
            <xm:f>$S$8='Assessment Details'!$Q$23</xm:f>
            <x14:dxf>
              <border>
                <left style="thin">
                  <color theme="0"/>
                </left>
                <right style="thin">
                  <color theme="0"/>
                </right>
                <top style="thin">
                  <color theme="0"/>
                </top>
                <bottom style="thin">
                  <color theme="0"/>
                </bottom>
                <vertical/>
                <horizontal/>
              </border>
            </x14:dxf>
          </x14:cfRule>
          <xm:sqref>W92</xm:sqref>
        </x14:conditionalFormatting>
        <x14:conditionalFormatting xmlns:xm="http://schemas.microsoft.com/office/excel/2006/main">
          <x14:cfRule type="expression" priority="1123" id="{ED122FC8-685A-4CD0-B196-3B87E709F630}">
            <xm:f>$Z$8='Assessment Details'!$Q$23</xm:f>
            <x14:dxf>
              <font>
                <color theme="0"/>
              </font>
              <fill>
                <patternFill>
                  <bgColor theme="0"/>
                </patternFill>
              </fill>
            </x14:dxf>
          </x14:cfRule>
          <xm:sqref>U92:Z92</xm:sqref>
        </x14:conditionalFormatting>
        <x14:conditionalFormatting xmlns:xm="http://schemas.microsoft.com/office/excel/2006/main">
          <x14:cfRule type="expression" priority="1124" id="{37BD6D06-D11A-49DB-8816-96940871D5C0}">
            <xm:f>$Z$8='Assessment Details'!$Q$23</xm:f>
            <x14:dxf>
              <border>
                <left style="thin">
                  <color theme="0"/>
                </left>
                <right style="thin">
                  <color theme="0"/>
                </right>
                <top style="thin">
                  <color theme="0"/>
                </top>
                <bottom style="thin">
                  <color theme="0"/>
                </bottom>
                <vertical/>
                <horizontal/>
              </border>
            </x14:dxf>
          </x14:cfRule>
          <xm:sqref>U92:Z92</xm:sqref>
        </x14:conditionalFormatting>
        <x14:conditionalFormatting xmlns:xm="http://schemas.microsoft.com/office/excel/2006/main">
          <x14:cfRule type="expression" priority="1086" id="{7AA700BF-8308-41D7-833B-82FD6E7F9262}">
            <xm:f>$S$8='Assessment Details'!$Q$23</xm:f>
            <x14:dxf>
              <font>
                <color theme="0"/>
              </font>
              <fill>
                <patternFill>
                  <bgColor theme="0"/>
                </patternFill>
              </fill>
              <border>
                <vertical/>
                <horizontal/>
              </border>
            </x14:dxf>
          </x14:cfRule>
          <xm:sqref>N101:S101</xm:sqref>
        </x14:conditionalFormatting>
        <x14:conditionalFormatting xmlns:xm="http://schemas.microsoft.com/office/excel/2006/main">
          <x14:cfRule type="expression" priority="1085" id="{0FA4A83B-69D5-4C51-A6A3-5A737EA07BE0}">
            <xm:f>$S$8='Assessment Details'!$Q$23</xm:f>
            <x14:dxf>
              <border>
                <left style="thin">
                  <color theme="0"/>
                </left>
                <right style="thin">
                  <color theme="0"/>
                </right>
                <top style="thin">
                  <color theme="0"/>
                </top>
                <bottom style="thin">
                  <color theme="0"/>
                </bottom>
                <vertical/>
                <horizontal/>
              </border>
            </x14:dxf>
          </x14:cfRule>
          <xm:sqref>N101:S101</xm:sqref>
        </x14:conditionalFormatting>
        <x14:conditionalFormatting xmlns:xm="http://schemas.microsoft.com/office/excel/2006/main">
          <x14:cfRule type="expression" priority="1084" id="{F21151FC-D5C3-42E0-9A86-C2A9031DC0EB}">
            <xm:f>$S$8='Assessment Details'!$Q$23</xm:f>
            <x14:dxf>
              <font>
                <color theme="0"/>
              </font>
              <fill>
                <patternFill>
                  <bgColor theme="0"/>
                </patternFill>
              </fill>
              <border>
                <vertical/>
                <horizontal/>
              </border>
            </x14:dxf>
          </x14:cfRule>
          <xm:sqref>G101</xm:sqref>
        </x14:conditionalFormatting>
        <x14:conditionalFormatting xmlns:xm="http://schemas.microsoft.com/office/excel/2006/main">
          <x14:cfRule type="expression" priority="1083" id="{E0C6D475-8D15-4C28-B210-641FF14B3A49}">
            <xm:f>$S$8='Assessment Details'!$Q$23</xm:f>
            <x14:dxf>
              <border>
                <left style="thin">
                  <color theme="0"/>
                </left>
                <right style="thin">
                  <color theme="0"/>
                </right>
                <top style="thin">
                  <color theme="0"/>
                </top>
                <bottom style="thin">
                  <color theme="0"/>
                </bottom>
                <vertical/>
                <horizontal/>
              </border>
            </x14:dxf>
          </x14:cfRule>
          <xm:sqref>G101</xm:sqref>
        </x14:conditionalFormatting>
        <x14:conditionalFormatting xmlns:xm="http://schemas.microsoft.com/office/excel/2006/main">
          <x14:cfRule type="expression" priority="1082" id="{33965755-1D96-4E8D-83F2-5EC690BE09B0}">
            <xm:f>$S$8='Assessment Details'!$Q$23</xm:f>
            <x14:dxf>
              <font>
                <color theme="0"/>
              </font>
              <fill>
                <patternFill>
                  <bgColor theme="0"/>
                </patternFill>
              </fill>
              <border>
                <vertical/>
                <horizontal/>
              </border>
            </x14:dxf>
          </x14:cfRule>
          <xm:sqref>U101</xm:sqref>
        </x14:conditionalFormatting>
        <x14:conditionalFormatting xmlns:xm="http://schemas.microsoft.com/office/excel/2006/main">
          <x14:cfRule type="expression" priority="1081" id="{81DA8577-C4D2-4D60-B1A7-4DBDA5DD5CE0}">
            <xm:f>$S$8='Assessment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1080" id="{C3E2AB4D-853E-4EE3-A770-FB3D4DC5CFB8}">
            <xm:f>$S$8='Assessment Details'!$Q$23</xm:f>
            <x14:dxf>
              <font>
                <color theme="0"/>
              </font>
              <fill>
                <patternFill>
                  <bgColor theme="0"/>
                </patternFill>
              </fill>
              <border>
                <vertical/>
                <horizontal/>
              </border>
            </x14:dxf>
          </x14:cfRule>
          <xm:sqref>W101</xm:sqref>
        </x14:conditionalFormatting>
        <x14:conditionalFormatting xmlns:xm="http://schemas.microsoft.com/office/excel/2006/main">
          <x14:cfRule type="expression" priority="1079" id="{22F2B09E-E77C-4A35-9724-B076655A268F}">
            <xm:f>$S$8='Assessment Details'!$Q$23</xm:f>
            <x14:dxf>
              <border>
                <left style="thin">
                  <color theme="0"/>
                </left>
                <right style="thin">
                  <color theme="0"/>
                </right>
                <top style="thin">
                  <color theme="0"/>
                </top>
                <bottom style="thin">
                  <color theme="0"/>
                </bottom>
                <vertical/>
                <horizontal/>
              </border>
            </x14:dxf>
          </x14:cfRule>
          <xm:sqref>W101</xm:sqref>
        </x14:conditionalFormatting>
        <x14:conditionalFormatting xmlns:xm="http://schemas.microsoft.com/office/excel/2006/main">
          <x14:cfRule type="expression" priority="1100" id="{0253E361-59AA-4EF7-B5FB-2B4A9F3133B7}">
            <xm:f>$Z$8='Assessment Details'!$Q$23</xm:f>
            <x14:dxf>
              <font>
                <color theme="0"/>
              </font>
              <fill>
                <patternFill>
                  <bgColor theme="0"/>
                </patternFill>
              </fill>
            </x14:dxf>
          </x14:cfRule>
          <xm:sqref>U101:Z101</xm:sqref>
        </x14:conditionalFormatting>
        <x14:conditionalFormatting xmlns:xm="http://schemas.microsoft.com/office/excel/2006/main">
          <x14:cfRule type="expression" priority="1101" id="{A6659ED7-93B4-4CE8-A9C7-02A05248F6FE}">
            <xm:f>$Z$8='Assessment Details'!$Q$23</xm:f>
            <x14:dxf>
              <border>
                <left style="thin">
                  <color theme="0"/>
                </left>
                <right style="thin">
                  <color theme="0"/>
                </right>
                <top style="thin">
                  <color theme="0"/>
                </top>
                <bottom style="thin">
                  <color theme="0"/>
                </bottom>
                <vertical/>
                <horizontal/>
              </border>
            </x14:dxf>
          </x14:cfRule>
          <xm:sqref>U101:Z101</xm:sqref>
        </x14:conditionalFormatting>
        <x14:conditionalFormatting xmlns:xm="http://schemas.microsoft.com/office/excel/2006/main">
          <x14:cfRule type="expression" priority="902" id="{9C42B326-4946-45BE-9FA3-67FDB0291C68}">
            <xm:f>$S$8='Assessment Details'!$Q$23</xm:f>
            <x14:dxf>
              <font>
                <color theme="0"/>
              </font>
              <fill>
                <patternFill>
                  <bgColor theme="0"/>
                </patternFill>
              </fill>
              <border>
                <vertical/>
                <horizontal/>
              </border>
            </x14:dxf>
          </x14:cfRule>
          <xm:sqref>N38:S39 N41:S62</xm:sqref>
        </x14:conditionalFormatting>
        <x14:conditionalFormatting xmlns:xm="http://schemas.microsoft.com/office/excel/2006/main">
          <x14:cfRule type="expression" priority="901" id="{5D6CE809-3ABC-4CAA-9C25-4DCB04855D26}">
            <xm:f>$S$8='Assessment Details'!$Q$23</xm:f>
            <x14:dxf>
              <border>
                <left style="thin">
                  <color theme="0"/>
                </left>
                <right style="thin">
                  <color theme="0"/>
                </right>
                <top style="thin">
                  <color theme="0"/>
                </top>
                <bottom style="thin">
                  <color theme="0"/>
                </bottom>
                <vertical/>
                <horizontal/>
              </border>
            </x14:dxf>
          </x14:cfRule>
          <xm:sqref>N38:S39 N41:S62</xm:sqref>
        </x14:conditionalFormatting>
        <x14:conditionalFormatting xmlns:xm="http://schemas.microsoft.com/office/excel/2006/main">
          <x14:cfRule type="expression" priority="900" id="{3EB1206A-4193-4D0A-B517-6ACDCEB1C113}">
            <xm:f>$S$8='Assessment Details'!$Q$23</xm:f>
            <x14:dxf>
              <font>
                <color theme="0"/>
              </font>
              <fill>
                <patternFill>
                  <bgColor theme="0"/>
                </patternFill>
              </fill>
              <border>
                <vertical/>
                <horizontal/>
              </border>
            </x14:dxf>
          </x14:cfRule>
          <xm:sqref>G38:G39 G41:G62</xm:sqref>
        </x14:conditionalFormatting>
        <x14:conditionalFormatting xmlns:xm="http://schemas.microsoft.com/office/excel/2006/main">
          <x14:cfRule type="expression" priority="899" id="{30E26A2C-1B8E-48F0-BA66-8AFE45EE3DF2}">
            <xm:f>$S$8='Assessment Details'!$Q$23</xm:f>
            <x14:dxf>
              <border>
                <left style="thin">
                  <color theme="0"/>
                </left>
                <right style="thin">
                  <color theme="0"/>
                </right>
                <top style="thin">
                  <color theme="0"/>
                </top>
                <bottom style="thin">
                  <color theme="0"/>
                </bottom>
                <vertical/>
                <horizontal/>
              </border>
            </x14:dxf>
          </x14:cfRule>
          <xm:sqref>G38:G39 G41:G62</xm:sqref>
        </x14:conditionalFormatting>
        <x14:conditionalFormatting xmlns:xm="http://schemas.microsoft.com/office/excel/2006/main">
          <x14:cfRule type="expression" priority="898" id="{7B8499D6-4B13-49D3-B4C8-E519E69B9855}">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97" id="{A117033E-E655-4A44-BFA9-08E218A7EB1E}">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92" id="{58BBA893-EE42-479E-A228-CEB617BB1DFE}">
            <xm:f>$S$8='Assessment Details'!$Q$23</xm:f>
            <x14:dxf>
              <font>
                <color theme="0"/>
              </font>
              <fill>
                <patternFill>
                  <bgColor theme="0"/>
                </patternFill>
              </fill>
              <border>
                <vertical/>
                <horizontal/>
              </border>
            </x14:dxf>
          </x14:cfRule>
          <xm:sqref>N38:N39 N41:N62</xm:sqref>
        </x14:conditionalFormatting>
        <x14:conditionalFormatting xmlns:xm="http://schemas.microsoft.com/office/excel/2006/main">
          <x14:cfRule type="expression" priority="891" id="{60E74A6C-F277-4877-A9A1-CD29765B9645}">
            <xm:f>$S$8='Assessment Details'!$Q$23</xm:f>
            <x14:dxf>
              <border>
                <left style="thin">
                  <color theme="0"/>
                </left>
                <right style="thin">
                  <color theme="0"/>
                </right>
                <top style="thin">
                  <color theme="0"/>
                </top>
                <bottom style="thin">
                  <color theme="0"/>
                </bottom>
                <vertical/>
                <horizontal/>
              </border>
            </x14:dxf>
          </x14:cfRule>
          <xm:sqref>N38:N39 N41:N62</xm:sqref>
        </x14:conditionalFormatting>
        <x14:conditionalFormatting xmlns:xm="http://schemas.microsoft.com/office/excel/2006/main">
          <x14:cfRule type="expression" priority="886" id="{BB31C667-15BE-44DF-8F3B-9A880991D59B}">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85" id="{24CC7E33-6DA0-4FC9-B3D0-1954DB89AA81}">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84" id="{929D4BA1-9A0C-4A8B-A3B4-6BCE04D15D41}">
            <xm:f>$S$8='Assessment Details'!$Q$23</xm:f>
            <x14:dxf>
              <font>
                <color theme="0"/>
              </font>
              <fill>
                <patternFill>
                  <bgColor theme="0"/>
                </patternFill>
              </fill>
              <border>
                <vertical/>
                <horizontal/>
              </border>
            </x14:dxf>
          </x14:cfRule>
          <xm:sqref>W38:W39 W41:W62</xm:sqref>
        </x14:conditionalFormatting>
        <x14:conditionalFormatting xmlns:xm="http://schemas.microsoft.com/office/excel/2006/main">
          <x14:cfRule type="expression" priority="883" id="{88D20FA6-DEF5-489A-861F-47DA95BA509C}">
            <xm:f>$S$8='Assessment Details'!$Q$23</xm:f>
            <x14:dxf>
              <border>
                <left style="thin">
                  <color theme="0"/>
                </left>
                <right style="thin">
                  <color theme="0"/>
                </right>
                <top style="thin">
                  <color theme="0"/>
                </top>
                <bottom style="thin">
                  <color theme="0"/>
                </bottom>
                <vertical/>
                <horizontal/>
              </border>
            </x14:dxf>
          </x14:cfRule>
          <xm:sqref>W38:W39 W41:W62</xm:sqref>
        </x14:conditionalFormatting>
        <x14:conditionalFormatting xmlns:xm="http://schemas.microsoft.com/office/excel/2006/main">
          <x14:cfRule type="expression" priority="916" id="{C66728D3-1D28-4219-89FD-72DCBD8DE62E}">
            <xm:f>$Z$8='Assessment Details'!$Q$23</xm:f>
            <x14:dxf>
              <font>
                <color theme="0"/>
              </font>
              <fill>
                <patternFill>
                  <bgColor theme="0"/>
                </patternFill>
              </fill>
            </x14:dxf>
          </x14:cfRule>
          <xm:sqref>U38:Z39 U41:Z62</xm:sqref>
        </x14:conditionalFormatting>
        <x14:conditionalFormatting xmlns:xm="http://schemas.microsoft.com/office/excel/2006/main">
          <x14:cfRule type="expression" priority="917" id="{57837F53-3A9F-4F0C-854D-8A4F5A398BCE}">
            <xm:f>$Z$8='Assessment Details'!$Q$23</xm:f>
            <x14:dxf>
              <border>
                <left style="thin">
                  <color theme="0"/>
                </left>
                <right style="thin">
                  <color theme="0"/>
                </right>
                <top style="thin">
                  <color theme="0"/>
                </top>
                <bottom style="thin">
                  <color theme="0"/>
                </bottom>
                <vertical/>
                <horizontal/>
              </border>
            </x14:dxf>
          </x14:cfRule>
          <xm:sqref>U38:Z39 U41:Z62</xm:sqref>
        </x14:conditionalFormatting>
        <x14:conditionalFormatting xmlns:xm="http://schemas.microsoft.com/office/excel/2006/main">
          <x14:cfRule type="expression" priority="867" id="{4FCADA7D-A197-4415-9BA2-3504C54CD72D}">
            <xm:f>$S$8='Assessment Details'!$Q$23</xm:f>
            <x14:dxf>
              <font>
                <color theme="0"/>
              </font>
              <fill>
                <patternFill>
                  <bgColor theme="0"/>
                </patternFill>
              </fill>
              <border>
                <vertical/>
                <horizontal/>
              </border>
            </x14:dxf>
          </x14:cfRule>
          <xm:sqref>N66:S70</xm:sqref>
        </x14:conditionalFormatting>
        <x14:conditionalFormatting xmlns:xm="http://schemas.microsoft.com/office/excel/2006/main">
          <x14:cfRule type="expression" priority="866" id="{FB2B46D0-D2BC-403B-922F-12790164563A}">
            <xm:f>$S$8='Assessment Details'!$Q$23</xm:f>
            <x14:dxf>
              <border>
                <left style="thin">
                  <color theme="0"/>
                </left>
                <right style="thin">
                  <color theme="0"/>
                </right>
                <top style="thin">
                  <color theme="0"/>
                </top>
                <bottom style="thin">
                  <color theme="0"/>
                </bottom>
                <vertical/>
                <horizontal/>
              </border>
            </x14:dxf>
          </x14:cfRule>
          <xm:sqref>N66:S70</xm:sqref>
        </x14:conditionalFormatting>
        <x14:conditionalFormatting xmlns:xm="http://schemas.microsoft.com/office/excel/2006/main">
          <x14:cfRule type="expression" priority="865" id="{E2A84904-571E-4F8D-95B1-9B870836F8EA}">
            <xm:f>$S$8='Assessment Details'!$Q$23</xm:f>
            <x14:dxf>
              <font>
                <color theme="0"/>
              </font>
              <fill>
                <patternFill>
                  <bgColor theme="0"/>
                </patternFill>
              </fill>
              <border>
                <vertical/>
                <horizontal/>
              </border>
            </x14:dxf>
          </x14:cfRule>
          <xm:sqref>G66:G70</xm:sqref>
        </x14:conditionalFormatting>
        <x14:conditionalFormatting xmlns:xm="http://schemas.microsoft.com/office/excel/2006/main">
          <x14:cfRule type="expression" priority="864" id="{EA486EF2-13DC-46B1-BF5A-E0AB6C967967}">
            <xm:f>$S$8='Assessment Details'!$Q$23</xm:f>
            <x14:dxf>
              <border>
                <left style="thin">
                  <color theme="0"/>
                </left>
                <right style="thin">
                  <color theme="0"/>
                </right>
                <top style="thin">
                  <color theme="0"/>
                </top>
                <bottom style="thin">
                  <color theme="0"/>
                </bottom>
                <vertical/>
                <horizontal/>
              </border>
            </x14:dxf>
          </x14:cfRule>
          <xm:sqref>G66:G70</xm:sqref>
        </x14:conditionalFormatting>
        <x14:conditionalFormatting xmlns:xm="http://schemas.microsoft.com/office/excel/2006/main">
          <x14:cfRule type="expression" priority="863" id="{15950DC4-CC84-44B1-AC60-7AF91F1FDD6F}">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862" id="{B667FFB4-5A4F-4B9A-90AD-6C8824424B54}">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857" id="{62E45316-1115-49E1-B404-4F808D4A7630}">
            <xm:f>$S$8='Assessment Details'!$Q$23</xm:f>
            <x14:dxf>
              <font>
                <color theme="0"/>
              </font>
              <fill>
                <patternFill>
                  <bgColor theme="0"/>
                </patternFill>
              </fill>
              <border>
                <vertical/>
                <horizontal/>
              </border>
            </x14:dxf>
          </x14:cfRule>
          <xm:sqref>N66:N70</xm:sqref>
        </x14:conditionalFormatting>
        <x14:conditionalFormatting xmlns:xm="http://schemas.microsoft.com/office/excel/2006/main">
          <x14:cfRule type="expression" priority="856" id="{EE69091F-85CF-4D4C-87ED-CA760913C1BA}">
            <xm:f>$S$8='Assessment Details'!$Q$23</xm:f>
            <x14:dxf>
              <border>
                <left style="thin">
                  <color theme="0"/>
                </left>
                <right style="thin">
                  <color theme="0"/>
                </right>
                <top style="thin">
                  <color theme="0"/>
                </top>
                <bottom style="thin">
                  <color theme="0"/>
                </bottom>
                <vertical/>
                <horizontal/>
              </border>
            </x14:dxf>
          </x14:cfRule>
          <xm:sqref>N66:N70</xm:sqref>
        </x14:conditionalFormatting>
        <x14:conditionalFormatting xmlns:xm="http://schemas.microsoft.com/office/excel/2006/main">
          <x14:cfRule type="expression" priority="851" id="{23C69510-D6C1-47E6-A291-45444BED47B6}">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850" id="{0C34D3B8-4096-4716-9C2A-64A7B6470AFB}">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849" id="{91C3642B-20F9-48C8-BBCE-E25B520CAF1E}">
            <xm:f>$S$8='Assessment Details'!$Q$23</xm:f>
            <x14:dxf>
              <font>
                <color theme="0"/>
              </font>
              <fill>
                <patternFill>
                  <bgColor theme="0"/>
                </patternFill>
              </fill>
              <border>
                <vertical/>
                <horizontal/>
              </border>
            </x14:dxf>
          </x14:cfRule>
          <xm:sqref>W66:W70</xm:sqref>
        </x14:conditionalFormatting>
        <x14:conditionalFormatting xmlns:xm="http://schemas.microsoft.com/office/excel/2006/main">
          <x14:cfRule type="expression" priority="848" id="{07FA1C11-BD85-4132-BD42-DA6D5718C888}">
            <xm:f>$S$8='Assessment Details'!$Q$23</xm:f>
            <x14:dxf>
              <border>
                <left style="thin">
                  <color theme="0"/>
                </left>
                <right style="thin">
                  <color theme="0"/>
                </right>
                <top style="thin">
                  <color theme="0"/>
                </top>
                <bottom style="thin">
                  <color theme="0"/>
                </bottom>
                <vertical/>
                <horizontal/>
              </border>
            </x14:dxf>
          </x14:cfRule>
          <xm:sqref>W66:W70</xm:sqref>
        </x14:conditionalFormatting>
        <x14:conditionalFormatting xmlns:xm="http://schemas.microsoft.com/office/excel/2006/main">
          <x14:cfRule type="expression" priority="881" id="{C3B53F49-D624-4668-A88D-CC265C4732FF}">
            <xm:f>$Z$8='Assessment Details'!$Q$23</xm:f>
            <x14:dxf>
              <font>
                <color theme="0"/>
              </font>
              <fill>
                <patternFill>
                  <bgColor theme="0"/>
                </patternFill>
              </fill>
            </x14:dxf>
          </x14:cfRule>
          <xm:sqref>U66:Z70</xm:sqref>
        </x14:conditionalFormatting>
        <x14:conditionalFormatting xmlns:xm="http://schemas.microsoft.com/office/excel/2006/main">
          <x14:cfRule type="expression" priority="882" id="{DB88EE05-05EF-43A8-9AA0-6A823E6BC540}">
            <xm:f>$Z$8='Assessment Details'!$Q$23</xm:f>
            <x14:dxf>
              <border>
                <left style="thin">
                  <color theme="0"/>
                </left>
                <right style="thin">
                  <color theme="0"/>
                </right>
                <top style="thin">
                  <color theme="0"/>
                </top>
                <bottom style="thin">
                  <color theme="0"/>
                </bottom>
                <vertical/>
                <horizontal/>
              </border>
            </x14:dxf>
          </x14:cfRule>
          <xm:sqref>U66:Z70</xm:sqref>
        </x14:conditionalFormatting>
        <x14:conditionalFormatting xmlns:xm="http://schemas.microsoft.com/office/excel/2006/main">
          <x14:cfRule type="expression" priority="832" id="{1BD591E1-08F2-4CEF-981B-4CB9B55473D0}">
            <xm:f>$S$8='Assessment Details'!$Q$23</xm:f>
            <x14:dxf>
              <font>
                <color theme="0"/>
              </font>
              <fill>
                <patternFill>
                  <bgColor theme="0"/>
                </patternFill>
              </fill>
              <border>
                <vertical/>
                <horizontal/>
              </border>
            </x14:dxf>
          </x14:cfRule>
          <xm:sqref>N95:S100</xm:sqref>
        </x14:conditionalFormatting>
        <x14:conditionalFormatting xmlns:xm="http://schemas.microsoft.com/office/excel/2006/main">
          <x14:cfRule type="expression" priority="831" id="{9F776836-5CD3-462B-9032-6508E16C50BC}">
            <xm:f>$S$8='Assessment Details'!$Q$23</xm:f>
            <x14:dxf>
              <border>
                <left style="thin">
                  <color theme="0"/>
                </left>
                <right style="thin">
                  <color theme="0"/>
                </right>
                <top style="thin">
                  <color theme="0"/>
                </top>
                <bottom style="thin">
                  <color theme="0"/>
                </bottom>
                <vertical/>
                <horizontal/>
              </border>
            </x14:dxf>
          </x14:cfRule>
          <xm:sqref>N95:S100</xm:sqref>
        </x14:conditionalFormatting>
        <x14:conditionalFormatting xmlns:xm="http://schemas.microsoft.com/office/excel/2006/main">
          <x14:cfRule type="expression" priority="830" id="{E06107F4-0797-42C3-AF12-3E69A082790E}">
            <xm:f>$S$8='Assessment Details'!$Q$23</xm:f>
            <x14:dxf>
              <font>
                <color theme="0"/>
              </font>
              <fill>
                <patternFill>
                  <bgColor theme="0"/>
                </patternFill>
              </fill>
              <border>
                <vertical/>
                <horizontal/>
              </border>
            </x14:dxf>
          </x14:cfRule>
          <xm:sqref>G95:G100</xm:sqref>
        </x14:conditionalFormatting>
        <x14:conditionalFormatting xmlns:xm="http://schemas.microsoft.com/office/excel/2006/main">
          <x14:cfRule type="expression" priority="829" id="{00C83373-3E86-4A05-A623-37C5B664E25B}">
            <xm:f>$S$8='Assessment Details'!$Q$23</xm:f>
            <x14:dxf>
              <border>
                <left style="thin">
                  <color theme="0"/>
                </left>
                <right style="thin">
                  <color theme="0"/>
                </right>
                <top style="thin">
                  <color theme="0"/>
                </top>
                <bottom style="thin">
                  <color theme="0"/>
                </bottom>
                <vertical/>
                <horizontal/>
              </border>
            </x14:dxf>
          </x14:cfRule>
          <xm:sqref>G95:G100</xm:sqref>
        </x14:conditionalFormatting>
        <x14:conditionalFormatting xmlns:xm="http://schemas.microsoft.com/office/excel/2006/main">
          <x14:cfRule type="expression" priority="828" id="{5961EE5E-4BD1-4B3C-9C32-851077EA884D}">
            <xm:f>$S$8='Assessment Details'!$Q$23</xm:f>
            <x14:dxf>
              <font>
                <color theme="0"/>
              </font>
              <fill>
                <patternFill>
                  <bgColor theme="0"/>
                </patternFill>
              </fill>
              <border>
                <vertical/>
                <horizontal/>
              </border>
            </x14:dxf>
          </x14:cfRule>
          <xm:sqref>U95:U100</xm:sqref>
        </x14:conditionalFormatting>
        <x14:conditionalFormatting xmlns:xm="http://schemas.microsoft.com/office/excel/2006/main">
          <x14:cfRule type="expression" priority="827" id="{333D927D-615B-45D6-87AC-469DC68A1A11}">
            <xm:f>$S$8='Assessment Details'!$Q$23</xm:f>
            <x14:dxf>
              <border>
                <left style="thin">
                  <color theme="0"/>
                </left>
                <right style="thin">
                  <color theme="0"/>
                </right>
                <top style="thin">
                  <color theme="0"/>
                </top>
                <bottom style="thin">
                  <color theme="0"/>
                </bottom>
                <vertical/>
                <horizontal/>
              </border>
            </x14:dxf>
          </x14:cfRule>
          <xm:sqref>U95:U100</xm:sqref>
        </x14:conditionalFormatting>
        <x14:conditionalFormatting xmlns:xm="http://schemas.microsoft.com/office/excel/2006/main">
          <x14:cfRule type="expression" priority="822" id="{E6B6E013-951B-4DFA-97E6-BCEE0A6E2E5A}">
            <xm:f>$S$8='Assessment Details'!$Q$23</xm:f>
            <x14:dxf>
              <font>
                <color theme="0"/>
              </font>
              <fill>
                <patternFill>
                  <bgColor theme="0"/>
                </patternFill>
              </fill>
              <border>
                <vertical/>
                <horizontal/>
              </border>
            </x14:dxf>
          </x14:cfRule>
          <xm:sqref>N95:N100</xm:sqref>
        </x14:conditionalFormatting>
        <x14:conditionalFormatting xmlns:xm="http://schemas.microsoft.com/office/excel/2006/main">
          <x14:cfRule type="expression" priority="821" id="{DB63DD7B-A191-4D5E-A766-8ED092A8AD25}">
            <xm:f>$S$8='Assessment Details'!$Q$23</xm:f>
            <x14:dxf>
              <border>
                <left style="thin">
                  <color theme="0"/>
                </left>
                <right style="thin">
                  <color theme="0"/>
                </right>
                <top style="thin">
                  <color theme="0"/>
                </top>
                <bottom style="thin">
                  <color theme="0"/>
                </bottom>
                <vertical/>
                <horizontal/>
              </border>
            </x14:dxf>
          </x14:cfRule>
          <xm:sqref>N95:N100</xm:sqref>
        </x14:conditionalFormatting>
        <x14:conditionalFormatting xmlns:xm="http://schemas.microsoft.com/office/excel/2006/main">
          <x14:cfRule type="expression" priority="816" id="{F7F980A3-F13E-48B5-8235-DF2D2320CBA3}">
            <xm:f>$S$8='Assessment Details'!$Q$23</xm:f>
            <x14:dxf>
              <font>
                <color theme="0"/>
              </font>
              <fill>
                <patternFill>
                  <bgColor theme="0"/>
                </patternFill>
              </fill>
              <border>
                <vertical/>
                <horizontal/>
              </border>
            </x14:dxf>
          </x14:cfRule>
          <xm:sqref>U95:U100</xm:sqref>
        </x14:conditionalFormatting>
        <x14:conditionalFormatting xmlns:xm="http://schemas.microsoft.com/office/excel/2006/main">
          <x14:cfRule type="expression" priority="815" id="{EDE00C90-27FD-4C1B-8983-B51F2271A337}">
            <xm:f>$S$8='Assessment Details'!$Q$23</xm:f>
            <x14:dxf>
              <border>
                <left style="thin">
                  <color theme="0"/>
                </left>
                <right style="thin">
                  <color theme="0"/>
                </right>
                <top style="thin">
                  <color theme="0"/>
                </top>
                <bottom style="thin">
                  <color theme="0"/>
                </bottom>
                <vertical/>
                <horizontal/>
              </border>
            </x14:dxf>
          </x14:cfRule>
          <xm:sqref>U95:U100</xm:sqref>
        </x14:conditionalFormatting>
        <x14:conditionalFormatting xmlns:xm="http://schemas.microsoft.com/office/excel/2006/main">
          <x14:cfRule type="expression" priority="814" id="{45013F25-A8CD-4875-A8F3-EDB96D31D8DB}">
            <xm:f>$S$8='Assessment Details'!$Q$23</xm:f>
            <x14:dxf>
              <font>
                <color theme="0"/>
              </font>
              <fill>
                <patternFill>
                  <bgColor theme="0"/>
                </patternFill>
              </fill>
              <border>
                <vertical/>
                <horizontal/>
              </border>
            </x14:dxf>
          </x14:cfRule>
          <xm:sqref>W95:W100</xm:sqref>
        </x14:conditionalFormatting>
        <x14:conditionalFormatting xmlns:xm="http://schemas.microsoft.com/office/excel/2006/main">
          <x14:cfRule type="expression" priority="813" id="{38486A5C-B729-4422-8536-52FE6D7F340B}">
            <xm:f>$S$8='Assessment Details'!$Q$23</xm:f>
            <x14:dxf>
              <border>
                <left style="thin">
                  <color theme="0"/>
                </left>
                <right style="thin">
                  <color theme="0"/>
                </right>
                <top style="thin">
                  <color theme="0"/>
                </top>
                <bottom style="thin">
                  <color theme="0"/>
                </bottom>
                <vertical/>
                <horizontal/>
              </border>
            </x14:dxf>
          </x14:cfRule>
          <xm:sqref>W95:W100</xm:sqref>
        </x14:conditionalFormatting>
        <x14:conditionalFormatting xmlns:xm="http://schemas.microsoft.com/office/excel/2006/main">
          <x14:cfRule type="expression" priority="846" id="{523FC504-EDF4-4B28-90CA-F81484708F8D}">
            <xm:f>$Z$8='Assessment Details'!$Q$23</xm:f>
            <x14:dxf>
              <font>
                <color theme="0"/>
              </font>
              <fill>
                <patternFill>
                  <bgColor theme="0"/>
                </patternFill>
              </fill>
            </x14:dxf>
          </x14:cfRule>
          <xm:sqref>U95:Z100</xm:sqref>
        </x14:conditionalFormatting>
        <x14:conditionalFormatting xmlns:xm="http://schemas.microsoft.com/office/excel/2006/main">
          <x14:cfRule type="expression" priority="847" id="{95A0CC1A-0E54-40AC-818C-C97BF29A60BC}">
            <xm:f>$Z$8='Assessment Details'!$Q$23</xm:f>
            <x14:dxf>
              <border>
                <left style="thin">
                  <color theme="0"/>
                </left>
                <right style="thin">
                  <color theme="0"/>
                </right>
                <top style="thin">
                  <color theme="0"/>
                </top>
                <bottom style="thin">
                  <color theme="0"/>
                </bottom>
                <vertical/>
                <horizontal/>
              </border>
            </x14:dxf>
          </x14:cfRule>
          <xm:sqref>U95:Z100</xm:sqref>
        </x14:conditionalFormatting>
        <x14:conditionalFormatting xmlns:xm="http://schemas.microsoft.com/office/excel/2006/main">
          <x14:cfRule type="expression" priority="797" id="{7DE336E1-E5D4-401E-B8D4-7A63000DEAC3}">
            <xm:f>$S$8='Assessment Details'!$Q$23</xm:f>
            <x14:dxf>
              <font>
                <color theme="0"/>
              </font>
              <fill>
                <patternFill>
                  <bgColor theme="0"/>
                </patternFill>
              </fill>
              <border>
                <vertical/>
                <horizontal/>
              </border>
            </x14:dxf>
          </x14:cfRule>
          <xm:sqref>N104:S114</xm:sqref>
        </x14:conditionalFormatting>
        <x14:conditionalFormatting xmlns:xm="http://schemas.microsoft.com/office/excel/2006/main">
          <x14:cfRule type="expression" priority="796" id="{49DA29B4-1630-47B1-A291-04E2B0538837}">
            <xm:f>$S$8='Assessment Details'!$Q$23</xm:f>
            <x14:dxf>
              <border>
                <left style="thin">
                  <color theme="0"/>
                </left>
                <right style="thin">
                  <color theme="0"/>
                </right>
                <top style="thin">
                  <color theme="0"/>
                </top>
                <bottom style="thin">
                  <color theme="0"/>
                </bottom>
                <vertical/>
                <horizontal/>
              </border>
            </x14:dxf>
          </x14:cfRule>
          <xm:sqref>N104:S114</xm:sqref>
        </x14:conditionalFormatting>
        <x14:conditionalFormatting xmlns:xm="http://schemas.microsoft.com/office/excel/2006/main">
          <x14:cfRule type="expression" priority="795" id="{BA618F41-E642-4287-8CC1-4B1B638FEB3B}">
            <xm:f>$S$8='Assessment Details'!$Q$23</xm:f>
            <x14:dxf>
              <font>
                <color theme="0"/>
              </font>
              <fill>
                <patternFill>
                  <bgColor theme="0"/>
                </patternFill>
              </fill>
              <border>
                <vertical/>
                <horizontal/>
              </border>
            </x14:dxf>
          </x14:cfRule>
          <xm:sqref>G104:G114</xm:sqref>
        </x14:conditionalFormatting>
        <x14:conditionalFormatting xmlns:xm="http://schemas.microsoft.com/office/excel/2006/main">
          <x14:cfRule type="expression" priority="794" id="{DF510D98-611C-4B4E-AD84-C8B3C1C3E16A}">
            <xm:f>$S$8='Assessment Details'!$Q$23</xm:f>
            <x14:dxf>
              <border>
                <left style="thin">
                  <color theme="0"/>
                </left>
                <right style="thin">
                  <color theme="0"/>
                </right>
                <top style="thin">
                  <color theme="0"/>
                </top>
                <bottom style="thin">
                  <color theme="0"/>
                </bottom>
                <vertical/>
                <horizontal/>
              </border>
            </x14:dxf>
          </x14:cfRule>
          <xm:sqref>G104:G114</xm:sqref>
        </x14:conditionalFormatting>
        <x14:conditionalFormatting xmlns:xm="http://schemas.microsoft.com/office/excel/2006/main">
          <x14:cfRule type="expression" priority="793" id="{756983B4-32DB-4712-9E4A-B0195C7F9967}">
            <xm:f>$S$8='Assessment Details'!$Q$23</xm:f>
            <x14:dxf>
              <font>
                <color theme="0"/>
              </font>
              <fill>
                <patternFill>
                  <bgColor theme="0"/>
                </patternFill>
              </fill>
              <border>
                <vertical/>
                <horizontal/>
              </border>
            </x14:dxf>
          </x14:cfRule>
          <xm:sqref>U104:U114</xm:sqref>
        </x14:conditionalFormatting>
        <x14:conditionalFormatting xmlns:xm="http://schemas.microsoft.com/office/excel/2006/main">
          <x14:cfRule type="expression" priority="792" id="{067A6CDD-7B63-4779-B8F0-E078EAC87BBB}">
            <xm:f>$S$8='Assessment Details'!$Q$23</xm:f>
            <x14:dxf>
              <border>
                <left style="thin">
                  <color theme="0"/>
                </left>
                <right style="thin">
                  <color theme="0"/>
                </right>
                <top style="thin">
                  <color theme="0"/>
                </top>
                <bottom style="thin">
                  <color theme="0"/>
                </bottom>
                <vertical/>
                <horizontal/>
              </border>
            </x14:dxf>
          </x14:cfRule>
          <xm:sqref>U104:U114</xm:sqref>
        </x14:conditionalFormatting>
        <x14:conditionalFormatting xmlns:xm="http://schemas.microsoft.com/office/excel/2006/main">
          <x14:cfRule type="expression" priority="787" id="{96519392-41EB-42E7-94C2-5B2168E527EE}">
            <xm:f>$S$8='Assessment Details'!$Q$23</xm:f>
            <x14:dxf>
              <font>
                <color theme="0"/>
              </font>
              <fill>
                <patternFill>
                  <bgColor theme="0"/>
                </patternFill>
              </fill>
              <border>
                <vertical/>
                <horizontal/>
              </border>
            </x14:dxf>
          </x14:cfRule>
          <xm:sqref>N104:N114</xm:sqref>
        </x14:conditionalFormatting>
        <x14:conditionalFormatting xmlns:xm="http://schemas.microsoft.com/office/excel/2006/main">
          <x14:cfRule type="expression" priority="786" id="{750009DF-3B7E-4232-9FC0-8318C8C849AC}">
            <xm:f>$S$8='Assessment Details'!$Q$23</xm:f>
            <x14:dxf>
              <border>
                <left style="thin">
                  <color theme="0"/>
                </left>
                <right style="thin">
                  <color theme="0"/>
                </right>
                <top style="thin">
                  <color theme="0"/>
                </top>
                <bottom style="thin">
                  <color theme="0"/>
                </bottom>
                <vertical/>
                <horizontal/>
              </border>
            </x14:dxf>
          </x14:cfRule>
          <xm:sqref>N104:N114</xm:sqref>
        </x14:conditionalFormatting>
        <x14:conditionalFormatting xmlns:xm="http://schemas.microsoft.com/office/excel/2006/main">
          <x14:cfRule type="expression" priority="781" id="{7E831641-C107-4F72-8604-4E0AEFAA2B69}">
            <xm:f>$S$8='Assessment Details'!$Q$23</xm:f>
            <x14:dxf>
              <font>
                <color theme="0"/>
              </font>
              <fill>
                <patternFill>
                  <bgColor theme="0"/>
                </patternFill>
              </fill>
              <border>
                <vertical/>
                <horizontal/>
              </border>
            </x14:dxf>
          </x14:cfRule>
          <xm:sqref>U104:U114</xm:sqref>
        </x14:conditionalFormatting>
        <x14:conditionalFormatting xmlns:xm="http://schemas.microsoft.com/office/excel/2006/main">
          <x14:cfRule type="expression" priority="780" id="{E32F43E0-B962-4DF3-A9EC-3935053A07E3}">
            <xm:f>$S$8='Assessment Details'!$Q$23</xm:f>
            <x14:dxf>
              <border>
                <left style="thin">
                  <color theme="0"/>
                </left>
                <right style="thin">
                  <color theme="0"/>
                </right>
                <top style="thin">
                  <color theme="0"/>
                </top>
                <bottom style="thin">
                  <color theme="0"/>
                </bottom>
                <vertical/>
                <horizontal/>
              </border>
            </x14:dxf>
          </x14:cfRule>
          <xm:sqref>U104:U114</xm:sqref>
        </x14:conditionalFormatting>
        <x14:conditionalFormatting xmlns:xm="http://schemas.microsoft.com/office/excel/2006/main">
          <x14:cfRule type="expression" priority="779" id="{0BB5ED4B-026F-4928-A4EE-B96D789885DA}">
            <xm:f>$S$8='Assessment Details'!$Q$23</xm:f>
            <x14:dxf>
              <font>
                <color theme="0"/>
              </font>
              <fill>
                <patternFill>
                  <bgColor theme="0"/>
                </patternFill>
              </fill>
              <border>
                <vertical/>
                <horizontal/>
              </border>
            </x14:dxf>
          </x14:cfRule>
          <xm:sqref>W104:W114</xm:sqref>
        </x14:conditionalFormatting>
        <x14:conditionalFormatting xmlns:xm="http://schemas.microsoft.com/office/excel/2006/main">
          <x14:cfRule type="expression" priority="778" id="{BC45D543-FEDC-456A-AE61-F84314511591}">
            <xm:f>$S$8='Assessment Details'!$Q$23</xm:f>
            <x14:dxf>
              <border>
                <left style="thin">
                  <color theme="0"/>
                </left>
                <right style="thin">
                  <color theme="0"/>
                </right>
                <top style="thin">
                  <color theme="0"/>
                </top>
                <bottom style="thin">
                  <color theme="0"/>
                </bottom>
                <vertical/>
                <horizontal/>
              </border>
            </x14:dxf>
          </x14:cfRule>
          <xm:sqref>W104:W114</xm:sqref>
        </x14:conditionalFormatting>
        <x14:conditionalFormatting xmlns:xm="http://schemas.microsoft.com/office/excel/2006/main">
          <x14:cfRule type="expression" priority="811" id="{B1599C0C-1824-4B77-A646-BB9489929227}">
            <xm:f>$Z$8='Assessment Details'!$Q$23</xm:f>
            <x14:dxf>
              <font>
                <color theme="0"/>
              </font>
              <fill>
                <patternFill>
                  <bgColor theme="0"/>
                </patternFill>
              </fill>
            </x14:dxf>
          </x14:cfRule>
          <xm:sqref>U104:Z114</xm:sqref>
        </x14:conditionalFormatting>
        <x14:conditionalFormatting xmlns:xm="http://schemas.microsoft.com/office/excel/2006/main">
          <x14:cfRule type="expression" priority="812" id="{7C24B3D7-69A8-472F-9AC4-971295E49E8C}">
            <xm:f>$Z$8='Assessment Details'!$Q$23</xm:f>
            <x14:dxf>
              <border>
                <left style="thin">
                  <color theme="0"/>
                </left>
                <right style="thin">
                  <color theme="0"/>
                </right>
                <top style="thin">
                  <color theme="0"/>
                </top>
                <bottom style="thin">
                  <color theme="0"/>
                </bottom>
                <vertical/>
                <horizontal/>
              </border>
            </x14:dxf>
          </x14:cfRule>
          <xm:sqref>U104:Z114</xm:sqref>
        </x14:conditionalFormatting>
        <x14:conditionalFormatting xmlns:xm="http://schemas.microsoft.com/office/excel/2006/main">
          <x14:cfRule type="expression" priority="762" id="{F63492DD-25C4-472D-9AFC-29D0F2FFCA4E}">
            <xm:f>$S$8='Assessment Details'!$Q$23</xm:f>
            <x14:dxf>
              <font>
                <color theme="0"/>
              </font>
              <fill>
                <patternFill>
                  <bgColor theme="0"/>
                </patternFill>
              </fill>
              <border>
                <vertical/>
                <horizontal/>
              </border>
            </x14:dxf>
          </x14:cfRule>
          <xm:sqref>N118:S144</xm:sqref>
        </x14:conditionalFormatting>
        <x14:conditionalFormatting xmlns:xm="http://schemas.microsoft.com/office/excel/2006/main">
          <x14:cfRule type="expression" priority="761" id="{F8AC1FE8-B5C4-4AF3-AA72-D2DCF4E1FFC1}">
            <xm:f>$S$8='Assessment Details'!$Q$23</xm:f>
            <x14:dxf>
              <border>
                <left style="thin">
                  <color theme="0"/>
                </left>
                <right style="thin">
                  <color theme="0"/>
                </right>
                <top style="thin">
                  <color theme="0"/>
                </top>
                <bottom style="thin">
                  <color theme="0"/>
                </bottom>
                <vertical/>
                <horizontal/>
              </border>
            </x14:dxf>
          </x14:cfRule>
          <xm:sqref>N118:S144</xm:sqref>
        </x14:conditionalFormatting>
        <x14:conditionalFormatting xmlns:xm="http://schemas.microsoft.com/office/excel/2006/main">
          <x14:cfRule type="expression" priority="760" id="{E38FC8F5-B00E-45A0-92B9-74494A8AC0D9}">
            <xm:f>$S$8='Assessment Details'!$Q$23</xm:f>
            <x14:dxf>
              <font>
                <color theme="0"/>
              </font>
              <fill>
                <patternFill>
                  <bgColor theme="0"/>
                </patternFill>
              </fill>
              <border>
                <vertical/>
                <horizontal/>
              </border>
            </x14:dxf>
          </x14:cfRule>
          <xm:sqref>G118:G144</xm:sqref>
        </x14:conditionalFormatting>
        <x14:conditionalFormatting xmlns:xm="http://schemas.microsoft.com/office/excel/2006/main">
          <x14:cfRule type="expression" priority="759" id="{E74AB5C6-EC80-494B-BA5B-D2200366EB60}">
            <xm:f>$S$8='Assessment Details'!$Q$23</xm:f>
            <x14:dxf>
              <border>
                <left style="thin">
                  <color theme="0"/>
                </left>
                <right style="thin">
                  <color theme="0"/>
                </right>
                <top style="thin">
                  <color theme="0"/>
                </top>
                <bottom style="thin">
                  <color theme="0"/>
                </bottom>
                <vertical/>
                <horizontal/>
              </border>
            </x14:dxf>
          </x14:cfRule>
          <xm:sqref>G118:G144</xm:sqref>
        </x14:conditionalFormatting>
        <x14:conditionalFormatting xmlns:xm="http://schemas.microsoft.com/office/excel/2006/main">
          <x14:cfRule type="expression" priority="758" id="{673DFAA5-2055-44C4-887D-2C35F93E8E42}">
            <xm:f>$S$8='Assessment Details'!$Q$23</xm:f>
            <x14:dxf>
              <font>
                <color theme="0"/>
              </font>
              <fill>
                <patternFill>
                  <bgColor theme="0"/>
                </patternFill>
              </fill>
              <border>
                <vertical/>
                <horizontal/>
              </border>
            </x14:dxf>
          </x14:cfRule>
          <xm:sqref>U118:U144</xm:sqref>
        </x14:conditionalFormatting>
        <x14:conditionalFormatting xmlns:xm="http://schemas.microsoft.com/office/excel/2006/main">
          <x14:cfRule type="expression" priority="757" id="{2FB72A45-195A-4D9B-B6A6-6A65A8CBEFBF}">
            <xm:f>$S$8='Assessment Details'!$Q$23</xm:f>
            <x14:dxf>
              <border>
                <left style="thin">
                  <color theme="0"/>
                </left>
                <right style="thin">
                  <color theme="0"/>
                </right>
                <top style="thin">
                  <color theme="0"/>
                </top>
                <bottom style="thin">
                  <color theme="0"/>
                </bottom>
                <vertical/>
                <horizontal/>
              </border>
            </x14:dxf>
          </x14:cfRule>
          <xm:sqref>U118:U144</xm:sqref>
        </x14:conditionalFormatting>
        <x14:conditionalFormatting xmlns:xm="http://schemas.microsoft.com/office/excel/2006/main">
          <x14:cfRule type="expression" priority="752" id="{F4CB3BC1-BF42-4E13-88F7-6746AE0C85AB}">
            <xm:f>$S$8='Assessment Details'!$Q$23</xm:f>
            <x14:dxf>
              <font>
                <color theme="0"/>
              </font>
              <fill>
                <patternFill>
                  <bgColor theme="0"/>
                </patternFill>
              </fill>
              <border>
                <vertical/>
                <horizontal/>
              </border>
            </x14:dxf>
          </x14:cfRule>
          <xm:sqref>N118:N144</xm:sqref>
        </x14:conditionalFormatting>
        <x14:conditionalFormatting xmlns:xm="http://schemas.microsoft.com/office/excel/2006/main">
          <x14:cfRule type="expression" priority="751" id="{F6844507-E947-4893-B9ED-E004BF7954D4}">
            <xm:f>$S$8='Assessment Details'!$Q$23</xm:f>
            <x14:dxf>
              <border>
                <left style="thin">
                  <color theme="0"/>
                </left>
                <right style="thin">
                  <color theme="0"/>
                </right>
                <top style="thin">
                  <color theme="0"/>
                </top>
                <bottom style="thin">
                  <color theme="0"/>
                </bottom>
                <vertical/>
                <horizontal/>
              </border>
            </x14:dxf>
          </x14:cfRule>
          <xm:sqref>N118:N144</xm:sqref>
        </x14:conditionalFormatting>
        <x14:conditionalFormatting xmlns:xm="http://schemas.microsoft.com/office/excel/2006/main">
          <x14:cfRule type="expression" priority="746" id="{F302A555-2F25-42D5-8AAA-616DCC026794}">
            <xm:f>$S$8='Assessment Details'!$Q$23</xm:f>
            <x14:dxf>
              <font>
                <color theme="0"/>
              </font>
              <fill>
                <patternFill>
                  <bgColor theme="0"/>
                </patternFill>
              </fill>
              <border>
                <vertical/>
                <horizontal/>
              </border>
            </x14:dxf>
          </x14:cfRule>
          <xm:sqref>U118:U144</xm:sqref>
        </x14:conditionalFormatting>
        <x14:conditionalFormatting xmlns:xm="http://schemas.microsoft.com/office/excel/2006/main">
          <x14:cfRule type="expression" priority="745" id="{AD450B60-6008-4136-BDB5-B79109E9289D}">
            <xm:f>$S$8='Assessment Details'!$Q$23</xm:f>
            <x14:dxf>
              <border>
                <left style="thin">
                  <color theme="0"/>
                </left>
                <right style="thin">
                  <color theme="0"/>
                </right>
                <top style="thin">
                  <color theme="0"/>
                </top>
                <bottom style="thin">
                  <color theme="0"/>
                </bottom>
                <vertical/>
                <horizontal/>
              </border>
            </x14:dxf>
          </x14:cfRule>
          <xm:sqref>U118:U144</xm:sqref>
        </x14:conditionalFormatting>
        <x14:conditionalFormatting xmlns:xm="http://schemas.microsoft.com/office/excel/2006/main">
          <x14:cfRule type="expression" priority="744" id="{DE80F036-12CD-4EF6-ABDA-A72B56533A28}">
            <xm:f>$S$8='Assessment Details'!$Q$23</xm:f>
            <x14:dxf>
              <font>
                <color theme="0"/>
              </font>
              <fill>
                <patternFill>
                  <bgColor theme="0"/>
                </patternFill>
              </fill>
              <border>
                <vertical/>
                <horizontal/>
              </border>
            </x14:dxf>
          </x14:cfRule>
          <xm:sqref>W118:W144</xm:sqref>
        </x14:conditionalFormatting>
        <x14:conditionalFormatting xmlns:xm="http://schemas.microsoft.com/office/excel/2006/main">
          <x14:cfRule type="expression" priority="743" id="{ED2AA8D5-C35E-4825-A8B3-98F9B47AE8A5}">
            <xm:f>$S$8='Assessment Details'!$Q$23</xm:f>
            <x14:dxf>
              <border>
                <left style="thin">
                  <color theme="0"/>
                </left>
                <right style="thin">
                  <color theme="0"/>
                </right>
                <top style="thin">
                  <color theme="0"/>
                </top>
                <bottom style="thin">
                  <color theme="0"/>
                </bottom>
                <vertical/>
                <horizontal/>
              </border>
            </x14:dxf>
          </x14:cfRule>
          <xm:sqref>W118:W144</xm:sqref>
        </x14:conditionalFormatting>
        <x14:conditionalFormatting xmlns:xm="http://schemas.microsoft.com/office/excel/2006/main">
          <x14:cfRule type="expression" priority="776" id="{8F9F20A1-7D00-404C-BE1C-DEE2255F6C84}">
            <xm:f>$Z$8='Assessment Details'!$Q$23</xm:f>
            <x14:dxf>
              <font>
                <color theme="0"/>
              </font>
              <fill>
                <patternFill>
                  <bgColor theme="0"/>
                </patternFill>
              </fill>
            </x14:dxf>
          </x14:cfRule>
          <xm:sqref>U118:Z144</xm:sqref>
        </x14:conditionalFormatting>
        <x14:conditionalFormatting xmlns:xm="http://schemas.microsoft.com/office/excel/2006/main">
          <x14:cfRule type="expression" priority="777" id="{010FD9E7-F2B6-4B14-9887-5AFA260D8F08}">
            <xm:f>$Z$8='Assessment Details'!$Q$23</xm:f>
            <x14:dxf>
              <border>
                <left style="thin">
                  <color theme="0"/>
                </left>
                <right style="thin">
                  <color theme="0"/>
                </right>
                <top style="thin">
                  <color theme="0"/>
                </top>
                <bottom style="thin">
                  <color theme="0"/>
                </bottom>
                <vertical/>
                <horizontal/>
              </border>
            </x14:dxf>
          </x14:cfRule>
          <xm:sqref>U118:Z144</xm:sqref>
        </x14:conditionalFormatting>
        <x14:conditionalFormatting xmlns:xm="http://schemas.microsoft.com/office/excel/2006/main">
          <x14:cfRule type="expression" priority="727" id="{FDD67AFC-223C-407C-B2FF-9A6AB2820552}">
            <xm:f>$S$8='Assessment Details'!$Q$23</xm:f>
            <x14:dxf>
              <font>
                <color theme="0"/>
              </font>
              <fill>
                <patternFill>
                  <bgColor theme="0"/>
                </patternFill>
              </fill>
              <border>
                <vertical/>
                <horizontal/>
              </border>
            </x14:dxf>
          </x14:cfRule>
          <xm:sqref>N148:S159</xm:sqref>
        </x14:conditionalFormatting>
        <x14:conditionalFormatting xmlns:xm="http://schemas.microsoft.com/office/excel/2006/main">
          <x14:cfRule type="expression" priority="726" id="{7D03C898-9C07-489D-957D-E4B2FB7B043C}">
            <xm:f>$S$8='Assessment Details'!$Q$23</xm:f>
            <x14:dxf>
              <border>
                <left style="thin">
                  <color theme="0"/>
                </left>
                <right style="thin">
                  <color theme="0"/>
                </right>
                <top style="thin">
                  <color theme="0"/>
                </top>
                <bottom style="thin">
                  <color theme="0"/>
                </bottom>
                <vertical/>
                <horizontal/>
              </border>
            </x14:dxf>
          </x14:cfRule>
          <xm:sqref>N148:S159</xm:sqref>
        </x14:conditionalFormatting>
        <x14:conditionalFormatting xmlns:xm="http://schemas.microsoft.com/office/excel/2006/main">
          <x14:cfRule type="expression" priority="725" id="{51B2421E-E8B3-4AB2-B386-77ECA66D1F6B}">
            <xm:f>$S$8='Assessment Details'!$Q$23</xm:f>
            <x14:dxf>
              <font>
                <color theme="0"/>
              </font>
              <fill>
                <patternFill>
                  <bgColor theme="0"/>
                </patternFill>
              </fill>
              <border>
                <vertical/>
                <horizontal/>
              </border>
            </x14:dxf>
          </x14:cfRule>
          <xm:sqref>G148:G159</xm:sqref>
        </x14:conditionalFormatting>
        <x14:conditionalFormatting xmlns:xm="http://schemas.microsoft.com/office/excel/2006/main">
          <x14:cfRule type="expression" priority="724" id="{C1457F96-481E-4D7C-89F2-3AF16BD4EA56}">
            <xm:f>$S$8='Assessment Details'!$Q$23</xm:f>
            <x14:dxf>
              <border>
                <left style="thin">
                  <color theme="0"/>
                </left>
                <right style="thin">
                  <color theme="0"/>
                </right>
                <top style="thin">
                  <color theme="0"/>
                </top>
                <bottom style="thin">
                  <color theme="0"/>
                </bottom>
                <vertical/>
                <horizontal/>
              </border>
            </x14:dxf>
          </x14:cfRule>
          <xm:sqref>G148:G159</xm:sqref>
        </x14:conditionalFormatting>
        <x14:conditionalFormatting xmlns:xm="http://schemas.microsoft.com/office/excel/2006/main">
          <x14:cfRule type="expression" priority="723" id="{049D0A9C-46E9-426F-B254-D588DDA9507D}">
            <xm:f>$S$8='Assessment Details'!$Q$23</xm:f>
            <x14:dxf>
              <font>
                <color theme="0"/>
              </font>
              <fill>
                <patternFill>
                  <bgColor theme="0"/>
                </patternFill>
              </fill>
              <border>
                <vertical/>
                <horizontal/>
              </border>
            </x14:dxf>
          </x14:cfRule>
          <xm:sqref>U148:U159</xm:sqref>
        </x14:conditionalFormatting>
        <x14:conditionalFormatting xmlns:xm="http://schemas.microsoft.com/office/excel/2006/main">
          <x14:cfRule type="expression" priority="722" id="{85444FAC-1617-4551-8CD5-240D164907C6}">
            <xm:f>$S$8='Assessment Details'!$Q$23</xm:f>
            <x14:dxf>
              <border>
                <left style="thin">
                  <color theme="0"/>
                </left>
                <right style="thin">
                  <color theme="0"/>
                </right>
                <top style="thin">
                  <color theme="0"/>
                </top>
                <bottom style="thin">
                  <color theme="0"/>
                </bottom>
                <vertical/>
                <horizontal/>
              </border>
            </x14:dxf>
          </x14:cfRule>
          <xm:sqref>U148:U159</xm:sqref>
        </x14:conditionalFormatting>
        <x14:conditionalFormatting xmlns:xm="http://schemas.microsoft.com/office/excel/2006/main">
          <x14:cfRule type="expression" priority="717" id="{EE91D37B-6967-49FC-8B21-F94042CA4016}">
            <xm:f>$S$8='Assessment Details'!$Q$23</xm:f>
            <x14:dxf>
              <font>
                <color theme="0"/>
              </font>
              <fill>
                <patternFill>
                  <bgColor theme="0"/>
                </patternFill>
              </fill>
              <border>
                <vertical/>
                <horizontal/>
              </border>
            </x14:dxf>
          </x14:cfRule>
          <xm:sqref>N148:N159</xm:sqref>
        </x14:conditionalFormatting>
        <x14:conditionalFormatting xmlns:xm="http://schemas.microsoft.com/office/excel/2006/main">
          <x14:cfRule type="expression" priority="716" id="{8621AEF3-0C3F-4972-80CC-714D754035A7}">
            <xm:f>$S$8='Assessment Details'!$Q$23</xm:f>
            <x14:dxf>
              <border>
                <left style="thin">
                  <color theme="0"/>
                </left>
                <right style="thin">
                  <color theme="0"/>
                </right>
                <top style="thin">
                  <color theme="0"/>
                </top>
                <bottom style="thin">
                  <color theme="0"/>
                </bottom>
                <vertical/>
                <horizontal/>
              </border>
            </x14:dxf>
          </x14:cfRule>
          <xm:sqref>N148:N159</xm:sqref>
        </x14:conditionalFormatting>
        <x14:conditionalFormatting xmlns:xm="http://schemas.microsoft.com/office/excel/2006/main">
          <x14:cfRule type="expression" priority="711" id="{57179EFB-88D6-432B-9A88-0120AAE43F3D}">
            <xm:f>$S$8='Assessment Details'!$Q$23</xm:f>
            <x14:dxf>
              <font>
                <color theme="0"/>
              </font>
              <fill>
                <patternFill>
                  <bgColor theme="0"/>
                </patternFill>
              </fill>
              <border>
                <vertical/>
                <horizontal/>
              </border>
            </x14:dxf>
          </x14:cfRule>
          <xm:sqref>U148:U159</xm:sqref>
        </x14:conditionalFormatting>
        <x14:conditionalFormatting xmlns:xm="http://schemas.microsoft.com/office/excel/2006/main">
          <x14:cfRule type="expression" priority="710" id="{582D4AC3-A38D-4C64-A0CE-58695167D3BF}">
            <xm:f>$S$8='Assessment Details'!$Q$23</xm:f>
            <x14:dxf>
              <border>
                <left style="thin">
                  <color theme="0"/>
                </left>
                <right style="thin">
                  <color theme="0"/>
                </right>
                <top style="thin">
                  <color theme="0"/>
                </top>
                <bottom style="thin">
                  <color theme="0"/>
                </bottom>
                <vertical/>
                <horizontal/>
              </border>
            </x14:dxf>
          </x14:cfRule>
          <xm:sqref>U148:U159</xm:sqref>
        </x14:conditionalFormatting>
        <x14:conditionalFormatting xmlns:xm="http://schemas.microsoft.com/office/excel/2006/main">
          <x14:cfRule type="expression" priority="709" id="{3B203074-BC8A-49D8-B297-3E5E60AE11C7}">
            <xm:f>$S$8='Assessment Details'!$Q$23</xm:f>
            <x14:dxf>
              <font>
                <color theme="0"/>
              </font>
              <fill>
                <patternFill>
                  <bgColor theme="0"/>
                </patternFill>
              </fill>
              <border>
                <vertical/>
                <horizontal/>
              </border>
            </x14:dxf>
          </x14:cfRule>
          <xm:sqref>W148:W159</xm:sqref>
        </x14:conditionalFormatting>
        <x14:conditionalFormatting xmlns:xm="http://schemas.microsoft.com/office/excel/2006/main">
          <x14:cfRule type="expression" priority="708" id="{48AC37E6-979F-4F26-95D4-F2D58AB05DE7}">
            <xm:f>$S$8='Assessment Details'!$Q$23</xm:f>
            <x14:dxf>
              <border>
                <left style="thin">
                  <color theme="0"/>
                </left>
                <right style="thin">
                  <color theme="0"/>
                </right>
                <top style="thin">
                  <color theme="0"/>
                </top>
                <bottom style="thin">
                  <color theme="0"/>
                </bottom>
                <vertical/>
                <horizontal/>
              </border>
            </x14:dxf>
          </x14:cfRule>
          <xm:sqref>W148:W159</xm:sqref>
        </x14:conditionalFormatting>
        <x14:conditionalFormatting xmlns:xm="http://schemas.microsoft.com/office/excel/2006/main">
          <x14:cfRule type="expression" priority="741" id="{89AC23ED-6015-47FA-BEAF-9A6AA375A18E}">
            <xm:f>$Z$8='Assessment Details'!$Q$23</xm:f>
            <x14:dxf>
              <font>
                <color theme="0"/>
              </font>
              <fill>
                <patternFill>
                  <bgColor theme="0"/>
                </patternFill>
              </fill>
            </x14:dxf>
          </x14:cfRule>
          <xm:sqref>U148:Z159</xm:sqref>
        </x14:conditionalFormatting>
        <x14:conditionalFormatting xmlns:xm="http://schemas.microsoft.com/office/excel/2006/main">
          <x14:cfRule type="expression" priority="742" id="{8E8536A4-6749-44D2-BCBD-7D39EE4A4881}">
            <xm:f>$Z$8='Assessment Details'!$Q$23</xm:f>
            <x14:dxf>
              <border>
                <left style="thin">
                  <color theme="0"/>
                </left>
                <right style="thin">
                  <color theme="0"/>
                </right>
                <top style="thin">
                  <color theme="0"/>
                </top>
                <bottom style="thin">
                  <color theme="0"/>
                </bottom>
                <vertical/>
                <horizontal/>
              </border>
            </x14:dxf>
          </x14:cfRule>
          <xm:sqref>U148:Z159</xm:sqref>
        </x14:conditionalFormatting>
        <x14:conditionalFormatting xmlns:xm="http://schemas.microsoft.com/office/excel/2006/main">
          <x14:cfRule type="expression" priority="692" id="{D4D19939-03E7-461D-8DC4-FE096D9DFFFD}">
            <xm:f>$S$8='Assessment Details'!$Q$23</xm:f>
            <x14:dxf>
              <font>
                <color theme="0"/>
              </font>
              <fill>
                <patternFill>
                  <bgColor theme="0"/>
                </patternFill>
              </fill>
              <border>
                <vertical/>
                <horizontal/>
              </border>
            </x14:dxf>
          </x14:cfRule>
          <xm:sqref>N163:S171 N173:S191</xm:sqref>
        </x14:conditionalFormatting>
        <x14:conditionalFormatting xmlns:xm="http://schemas.microsoft.com/office/excel/2006/main">
          <x14:cfRule type="expression" priority="691" id="{BE550D97-26B7-410F-A7F0-AF419623F590}">
            <xm:f>$S$8='Assessment Details'!$Q$23</xm:f>
            <x14:dxf>
              <border>
                <left style="thin">
                  <color theme="0"/>
                </left>
                <right style="thin">
                  <color theme="0"/>
                </right>
                <top style="thin">
                  <color theme="0"/>
                </top>
                <bottom style="thin">
                  <color theme="0"/>
                </bottom>
                <vertical/>
                <horizontal/>
              </border>
            </x14:dxf>
          </x14:cfRule>
          <xm:sqref>N163:S171 N173:S191</xm:sqref>
        </x14:conditionalFormatting>
        <x14:conditionalFormatting xmlns:xm="http://schemas.microsoft.com/office/excel/2006/main">
          <x14:cfRule type="expression" priority="690" id="{7A93FD74-DED4-49B4-9201-176F09C1FEF1}">
            <xm:f>$S$8='Assessment Details'!$Q$23</xm:f>
            <x14:dxf>
              <font>
                <color theme="0"/>
              </font>
              <fill>
                <patternFill>
                  <bgColor theme="0"/>
                </patternFill>
              </fill>
              <border>
                <vertical/>
                <horizontal/>
              </border>
            </x14:dxf>
          </x14:cfRule>
          <xm:sqref>G163:G171 G173:G191</xm:sqref>
        </x14:conditionalFormatting>
        <x14:conditionalFormatting xmlns:xm="http://schemas.microsoft.com/office/excel/2006/main">
          <x14:cfRule type="expression" priority="689" id="{3479F7C1-53ED-41C3-ABA1-64A7E57F64D9}">
            <xm:f>$S$8='Assessment Details'!$Q$23</xm:f>
            <x14:dxf>
              <border>
                <left style="thin">
                  <color theme="0"/>
                </left>
                <right style="thin">
                  <color theme="0"/>
                </right>
                <top style="thin">
                  <color theme="0"/>
                </top>
                <bottom style="thin">
                  <color theme="0"/>
                </bottom>
                <vertical/>
                <horizontal/>
              </border>
            </x14:dxf>
          </x14:cfRule>
          <xm:sqref>G163:G171 G173:G191</xm:sqref>
        </x14:conditionalFormatting>
        <x14:conditionalFormatting xmlns:xm="http://schemas.microsoft.com/office/excel/2006/main">
          <x14:cfRule type="expression" priority="688" id="{1836C5F5-8B8B-402F-9896-1534A68AEBD0}">
            <xm:f>$S$8='Assessment Details'!$Q$23</xm:f>
            <x14:dxf>
              <font>
                <color theme="0"/>
              </font>
              <fill>
                <patternFill>
                  <bgColor theme="0"/>
                </patternFill>
              </fill>
              <border>
                <vertical/>
                <horizontal/>
              </border>
            </x14:dxf>
          </x14:cfRule>
          <xm:sqref>U163:U171 U173:U191</xm:sqref>
        </x14:conditionalFormatting>
        <x14:conditionalFormatting xmlns:xm="http://schemas.microsoft.com/office/excel/2006/main">
          <x14:cfRule type="expression" priority="687" id="{BF1BF6B8-EE67-45EE-8151-CD83A657FDAA}">
            <xm:f>$S$8='Assessment Details'!$Q$23</xm:f>
            <x14:dxf>
              <border>
                <left style="thin">
                  <color theme="0"/>
                </left>
                <right style="thin">
                  <color theme="0"/>
                </right>
                <top style="thin">
                  <color theme="0"/>
                </top>
                <bottom style="thin">
                  <color theme="0"/>
                </bottom>
                <vertical/>
                <horizontal/>
              </border>
            </x14:dxf>
          </x14:cfRule>
          <xm:sqref>U163:U171 U173:U191</xm:sqref>
        </x14:conditionalFormatting>
        <x14:conditionalFormatting xmlns:xm="http://schemas.microsoft.com/office/excel/2006/main">
          <x14:cfRule type="expression" priority="682" id="{5A0129D5-F475-4E7B-9520-37E3A7D82FB5}">
            <xm:f>$S$8='Assessment Details'!$Q$23</xm:f>
            <x14:dxf>
              <font>
                <color theme="0"/>
              </font>
              <fill>
                <patternFill>
                  <bgColor theme="0"/>
                </patternFill>
              </fill>
              <border>
                <vertical/>
                <horizontal/>
              </border>
            </x14:dxf>
          </x14:cfRule>
          <xm:sqref>N163:N171 N173:N191</xm:sqref>
        </x14:conditionalFormatting>
        <x14:conditionalFormatting xmlns:xm="http://schemas.microsoft.com/office/excel/2006/main">
          <x14:cfRule type="expression" priority="681" id="{3EDFE930-693F-44DC-A566-8E16A1730788}">
            <xm:f>$S$8='Assessment Details'!$Q$23</xm:f>
            <x14:dxf>
              <border>
                <left style="thin">
                  <color theme="0"/>
                </left>
                <right style="thin">
                  <color theme="0"/>
                </right>
                <top style="thin">
                  <color theme="0"/>
                </top>
                <bottom style="thin">
                  <color theme="0"/>
                </bottom>
                <vertical/>
                <horizontal/>
              </border>
            </x14:dxf>
          </x14:cfRule>
          <xm:sqref>N163:N171 N173:N191</xm:sqref>
        </x14:conditionalFormatting>
        <x14:conditionalFormatting xmlns:xm="http://schemas.microsoft.com/office/excel/2006/main">
          <x14:cfRule type="expression" priority="676" id="{057F9949-7FFB-45CF-9FA0-E01BA035B3E1}">
            <xm:f>$S$8='Assessment Details'!$Q$23</xm:f>
            <x14:dxf>
              <font>
                <color theme="0"/>
              </font>
              <fill>
                <patternFill>
                  <bgColor theme="0"/>
                </patternFill>
              </fill>
              <border>
                <vertical/>
                <horizontal/>
              </border>
            </x14:dxf>
          </x14:cfRule>
          <xm:sqref>U163:U171 U173:U191</xm:sqref>
        </x14:conditionalFormatting>
        <x14:conditionalFormatting xmlns:xm="http://schemas.microsoft.com/office/excel/2006/main">
          <x14:cfRule type="expression" priority="675" id="{80517BA3-B24B-4CC8-BAF6-4329096F205D}">
            <xm:f>$S$8='Assessment Details'!$Q$23</xm:f>
            <x14:dxf>
              <border>
                <left style="thin">
                  <color theme="0"/>
                </left>
                <right style="thin">
                  <color theme="0"/>
                </right>
                <top style="thin">
                  <color theme="0"/>
                </top>
                <bottom style="thin">
                  <color theme="0"/>
                </bottom>
                <vertical/>
                <horizontal/>
              </border>
            </x14:dxf>
          </x14:cfRule>
          <xm:sqref>U163:U171 U173:U191</xm:sqref>
        </x14:conditionalFormatting>
        <x14:conditionalFormatting xmlns:xm="http://schemas.microsoft.com/office/excel/2006/main">
          <x14:cfRule type="expression" priority="674" id="{E0DE2EBF-C845-49F1-94AF-650660600766}">
            <xm:f>$S$8='Assessment Details'!$Q$23</xm:f>
            <x14:dxf>
              <font>
                <color theme="0"/>
              </font>
              <fill>
                <patternFill>
                  <bgColor theme="0"/>
                </patternFill>
              </fill>
              <border>
                <vertical/>
                <horizontal/>
              </border>
            </x14:dxf>
          </x14:cfRule>
          <xm:sqref>W163:W171 W173:W191</xm:sqref>
        </x14:conditionalFormatting>
        <x14:conditionalFormatting xmlns:xm="http://schemas.microsoft.com/office/excel/2006/main">
          <x14:cfRule type="expression" priority="673" id="{DAFECC4A-CD43-4625-8D29-C727AA37469A}">
            <xm:f>$S$8='Assessment Details'!$Q$23</xm:f>
            <x14:dxf>
              <border>
                <left style="thin">
                  <color theme="0"/>
                </left>
                <right style="thin">
                  <color theme="0"/>
                </right>
                <top style="thin">
                  <color theme="0"/>
                </top>
                <bottom style="thin">
                  <color theme="0"/>
                </bottom>
                <vertical/>
                <horizontal/>
              </border>
            </x14:dxf>
          </x14:cfRule>
          <xm:sqref>W163:W171 W173:W191</xm:sqref>
        </x14:conditionalFormatting>
        <x14:conditionalFormatting xmlns:xm="http://schemas.microsoft.com/office/excel/2006/main">
          <x14:cfRule type="expression" priority="706" id="{FEB2857A-BA6E-44AA-90FC-C961C6499428}">
            <xm:f>$Z$8='Assessment Details'!$Q$23</xm:f>
            <x14:dxf>
              <font>
                <color theme="0"/>
              </font>
              <fill>
                <patternFill>
                  <bgColor theme="0"/>
                </patternFill>
              </fill>
            </x14:dxf>
          </x14:cfRule>
          <xm:sqref>U163:Z171 U173:Z191</xm:sqref>
        </x14:conditionalFormatting>
        <x14:conditionalFormatting xmlns:xm="http://schemas.microsoft.com/office/excel/2006/main">
          <x14:cfRule type="expression" priority="707" id="{99167A46-CA6A-47F7-A990-E00DE2E32EF5}">
            <xm:f>$Z$8='Assessment Details'!$Q$23</xm:f>
            <x14:dxf>
              <border>
                <left style="thin">
                  <color theme="0"/>
                </left>
                <right style="thin">
                  <color theme="0"/>
                </right>
                <top style="thin">
                  <color theme="0"/>
                </top>
                <bottom style="thin">
                  <color theme="0"/>
                </bottom>
                <vertical/>
                <horizontal/>
              </border>
            </x14:dxf>
          </x14:cfRule>
          <xm:sqref>U163:Z171 U173:Z191</xm:sqref>
        </x14:conditionalFormatting>
        <x14:conditionalFormatting xmlns:xm="http://schemas.microsoft.com/office/excel/2006/main">
          <x14:cfRule type="expression" priority="657" id="{2D4D8628-D431-410C-93AE-F72D90B86CC9}">
            <xm:f>$S$8='Assessment Details'!$Q$23</xm:f>
            <x14:dxf>
              <font>
                <color theme="0"/>
              </font>
              <fill>
                <patternFill>
                  <bgColor theme="0"/>
                </patternFill>
              </fill>
              <border>
                <vertical/>
                <horizontal/>
              </border>
            </x14:dxf>
          </x14:cfRule>
          <xm:sqref>N195:S208</xm:sqref>
        </x14:conditionalFormatting>
        <x14:conditionalFormatting xmlns:xm="http://schemas.microsoft.com/office/excel/2006/main">
          <x14:cfRule type="expression" priority="656" id="{015B966D-565D-4D37-9E4E-D18C7D0FF4F2}">
            <xm:f>$S$8='Assessment Details'!$Q$23</xm:f>
            <x14:dxf>
              <border>
                <left style="thin">
                  <color theme="0"/>
                </left>
                <right style="thin">
                  <color theme="0"/>
                </right>
                <top style="thin">
                  <color theme="0"/>
                </top>
                <bottom style="thin">
                  <color theme="0"/>
                </bottom>
                <vertical/>
                <horizontal/>
              </border>
            </x14:dxf>
          </x14:cfRule>
          <xm:sqref>N195:S208</xm:sqref>
        </x14:conditionalFormatting>
        <x14:conditionalFormatting xmlns:xm="http://schemas.microsoft.com/office/excel/2006/main">
          <x14:cfRule type="expression" priority="655" id="{82B06A9D-B4C3-42DD-BA43-74A98B42E62E}">
            <xm:f>$S$8='Assessment Details'!$Q$23</xm:f>
            <x14:dxf>
              <font>
                <color theme="0"/>
              </font>
              <fill>
                <patternFill>
                  <bgColor theme="0"/>
                </patternFill>
              </fill>
              <border>
                <vertical/>
                <horizontal/>
              </border>
            </x14:dxf>
          </x14:cfRule>
          <xm:sqref>G195:G208</xm:sqref>
        </x14:conditionalFormatting>
        <x14:conditionalFormatting xmlns:xm="http://schemas.microsoft.com/office/excel/2006/main">
          <x14:cfRule type="expression" priority="654" id="{0A71DD26-7FAC-4690-9571-C689F0D42AF2}">
            <xm:f>$S$8='Assessment Details'!$Q$23</xm:f>
            <x14:dxf>
              <border>
                <left style="thin">
                  <color theme="0"/>
                </left>
                <right style="thin">
                  <color theme="0"/>
                </right>
                <top style="thin">
                  <color theme="0"/>
                </top>
                <bottom style="thin">
                  <color theme="0"/>
                </bottom>
                <vertical/>
                <horizontal/>
              </border>
            </x14:dxf>
          </x14:cfRule>
          <xm:sqref>G195:G208</xm:sqref>
        </x14:conditionalFormatting>
        <x14:conditionalFormatting xmlns:xm="http://schemas.microsoft.com/office/excel/2006/main">
          <x14:cfRule type="expression" priority="653" id="{05395A0B-8350-4986-B1BF-45C6CF92C754}">
            <xm:f>$S$8='Assessment Details'!$Q$23</xm:f>
            <x14:dxf>
              <font>
                <color theme="0"/>
              </font>
              <fill>
                <patternFill>
                  <bgColor theme="0"/>
                </patternFill>
              </fill>
              <border>
                <vertical/>
                <horizontal/>
              </border>
            </x14:dxf>
          </x14:cfRule>
          <xm:sqref>U195:U208</xm:sqref>
        </x14:conditionalFormatting>
        <x14:conditionalFormatting xmlns:xm="http://schemas.microsoft.com/office/excel/2006/main">
          <x14:cfRule type="expression" priority="652" id="{5A16073C-F037-4B4F-928B-F7AFC1A2B1B0}">
            <xm:f>$S$8='Assessment Details'!$Q$23</xm:f>
            <x14:dxf>
              <border>
                <left style="thin">
                  <color theme="0"/>
                </left>
                <right style="thin">
                  <color theme="0"/>
                </right>
                <top style="thin">
                  <color theme="0"/>
                </top>
                <bottom style="thin">
                  <color theme="0"/>
                </bottom>
                <vertical/>
                <horizontal/>
              </border>
            </x14:dxf>
          </x14:cfRule>
          <xm:sqref>U195:U208</xm:sqref>
        </x14:conditionalFormatting>
        <x14:conditionalFormatting xmlns:xm="http://schemas.microsoft.com/office/excel/2006/main">
          <x14:cfRule type="expression" priority="647" id="{59DC67A7-AED3-4C94-9F3D-E15C0CE6D8D8}">
            <xm:f>$S$8='Assessment Details'!$Q$23</xm:f>
            <x14:dxf>
              <font>
                <color theme="0"/>
              </font>
              <fill>
                <patternFill>
                  <bgColor theme="0"/>
                </patternFill>
              </fill>
              <border>
                <vertical/>
                <horizontal/>
              </border>
            </x14:dxf>
          </x14:cfRule>
          <xm:sqref>N195:N208</xm:sqref>
        </x14:conditionalFormatting>
        <x14:conditionalFormatting xmlns:xm="http://schemas.microsoft.com/office/excel/2006/main">
          <x14:cfRule type="expression" priority="646" id="{D470C32E-9F2E-4ECC-A7D9-0D38145C9893}">
            <xm:f>$S$8='Assessment Details'!$Q$23</xm:f>
            <x14:dxf>
              <border>
                <left style="thin">
                  <color theme="0"/>
                </left>
                <right style="thin">
                  <color theme="0"/>
                </right>
                <top style="thin">
                  <color theme="0"/>
                </top>
                <bottom style="thin">
                  <color theme="0"/>
                </bottom>
                <vertical/>
                <horizontal/>
              </border>
            </x14:dxf>
          </x14:cfRule>
          <xm:sqref>N195:N208</xm:sqref>
        </x14:conditionalFormatting>
        <x14:conditionalFormatting xmlns:xm="http://schemas.microsoft.com/office/excel/2006/main">
          <x14:cfRule type="expression" priority="641" id="{EDDC2238-6C67-480F-9BF4-AFDF50D3084D}">
            <xm:f>$S$8='Assessment Details'!$Q$23</xm:f>
            <x14:dxf>
              <font>
                <color theme="0"/>
              </font>
              <fill>
                <patternFill>
                  <bgColor theme="0"/>
                </patternFill>
              </fill>
              <border>
                <vertical/>
                <horizontal/>
              </border>
            </x14:dxf>
          </x14:cfRule>
          <xm:sqref>U195:U208</xm:sqref>
        </x14:conditionalFormatting>
        <x14:conditionalFormatting xmlns:xm="http://schemas.microsoft.com/office/excel/2006/main">
          <x14:cfRule type="expression" priority="640" id="{E2F5C077-BDDD-4B07-A881-974B93784BEB}">
            <xm:f>$S$8='Assessment Details'!$Q$23</xm:f>
            <x14:dxf>
              <border>
                <left style="thin">
                  <color theme="0"/>
                </left>
                <right style="thin">
                  <color theme="0"/>
                </right>
                <top style="thin">
                  <color theme="0"/>
                </top>
                <bottom style="thin">
                  <color theme="0"/>
                </bottom>
                <vertical/>
                <horizontal/>
              </border>
            </x14:dxf>
          </x14:cfRule>
          <xm:sqref>U195:U208</xm:sqref>
        </x14:conditionalFormatting>
        <x14:conditionalFormatting xmlns:xm="http://schemas.microsoft.com/office/excel/2006/main">
          <x14:cfRule type="expression" priority="639" id="{3BC69D2D-165D-45A9-8D8F-499754B18D23}">
            <xm:f>$S$8='Assessment Details'!$Q$23</xm:f>
            <x14:dxf>
              <font>
                <color theme="0"/>
              </font>
              <fill>
                <patternFill>
                  <bgColor theme="0"/>
                </patternFill>
              </fill>
              <border>
                <vertical/>
                <horizontal/>
              </border>
            </x14:dxf>
          </x14:cfRule>
          <xm:sqref>W195:W208</xm:sqref>
        </x14:conditionalFormatting>
        <x14:conditionalFormatting xmlns:xm="http://schemas.microsoft.com/office/excel/2006/main">
          <x14:cfRule type="expression" priority="638" id="{192FEE80-DFE5-4358-9809-7AC90906B053}">
            <xm:f>$S$8='Assessment Details'!$Q$23</xm:f>
            <x14:dxf>
              <border>
                <left style="thin">
                  <color theme="0"/>
                </left>
                <right style="thin">
                  <color theme="0"/>
                </right>
                <top style="thin">
                  <color theme="0"/>
                </top>
                <bottom style="thin">
                  <color theme="0"/>
                </bottom>
                <vertical/>
                <horizontal/>
              </border>
            </x14:dxf>
          </x14:cfRule>
          <xm:sqref>W195:W208</xm:sqref>
        </x14:conditionalFormatting>
        <x14:conditionalFormatting xmlns:xm="http://schemas.microsoft.com/office/excel/2006/main">
          <x14:cfRule type="expression" priority="671" id="{E528BB73-543D-4A5F-96B3-784CF6DDEB34}">
            <xm:f>$Z$8='Assessment Details'!$Q$23</xm:f>
            <x14:dxf>
              <font>
                <color theme="0"/>
              </font>
              <fill>
                <patternFill>
                  <bgColor theme="0"/>
                </patternFill>
              </fill>
            </x14:dxf>
          </x14:cfRule>
          <xm:sqref>U195:Z208</xm:sqref>
        </x14:conditionalFormatting>
        <x14:conditionalFormatting xmlns:xm="http://schemas.microsoft.com/office/excel/2006/main">
          <x14:cfRule type="expression" priority="672" id="{1E2066D6-A793-40B2-9F3E-575105D5FDF6}">
            <xm:f>$Z$8='Assessment Details'!$Q$23</xm:f>
            <x14:dxf>
              <border>
                <left style="thin">
                  <color theme="0"/>
                </left>
                <right style="thin">
                  <color theme="0"/>
                </right>
                <top style="thin">
                  <color theme="0"/>
                </top>
                <bottom style="thin">
                  <color theme="0"/>
                </bottom>
                <vertical/>
                <horizontal/>
              </border>
            </x14:dxf>
          </x14:cfRule>
          <xm:sqref>U195:Z208</xm:sqref>
        </x14:conditionalFormatting>
        <x14:conditionalFormatting xmlns:xm="http://schemas.microsoft.com/office/excel/2006/main">
          <x14:cfRule type="expression" priority="622" id="{A622B995-6D9D-4D80-BA4E-8DA1A9453462}">
            <xm:f>$S$8='Assessment Details'!$Q$23</xm:f>
            <x14:dxf>
              <font>
                <color theme="0"/>
              </font>
              <fill>
                <patternFill>
                  <bgColor theme="0"/>
                </patternFill>
              </fill>
              <border>
                <vertical/>
                <horizontal/>
              </border>
            </x14:dxf>
          </x14:cfRule>
          <xm:sqref>N212:S225</xm:sqref>
        </x14:conditionalFormatting>
        <x14:conditionalFormatting xmlns:xm="http://schemas.microsoft.com/office/excel/2006/main">
          <x14:cfRule type="expression" priority="621" id="{0FC0FD56-939B-4078-BC52-1911777DA96B}">
            <xm:f>$S$8='Assessment Details'!$Q$23</xm:f>
            <x14:dxf>
              <border>
                <left style="thin">
                  <color theme="0"/>
                </left>
                <right style="thin">
                  <color theme="0"/>
                </right>
                <top style="thin">
                  <color theme="0"/>
                </top>
                <bottom style="thin">
                  <color theme="0"/>
                </bottom>
                <vertical/>
                <horizontal/>
              </border>
            </x14:dxf>
          </x14:cfRule>
          <xm:sqref>N212:S225</xm:sqref>
        </x14:conditionalFormatting>
        <x14:conditionalFormatting xmlns:xm="http://schemas.microsoft.com/office/excel/2006/main">
          <x14:cfRule type="expression" priority="620" id="{D06F94AD-33C2-44A8-B55C-4E4E3995A6E8}">
            <xm:f>$S$8='Assessment Details'!$Q$23</xm:f>
            <x14:dxf>
              <font>
                <color theme="0"/>
              </font>
              <fill>
                <patternFill>
                  <bgColor theme="0"/>
                </patternFill>
              </fill>
              <border>
                <vertical/>
                <horizontal/>
              </border>
            </x14:dxf>
          </x14:cfRule>
          <xm:sqref>G212:G225</xm:sqref>
        </x14:conditionalFormatting>
        <x14:conditionalFormatting xmlns:xm="http://schemas.microsoft.com/office/excel/2006/main">
          <x14:cfRule type="expression" priority="619" id="{2F1BDC43-8D9F-4BCE-9F34-23AE00E19A4B}">
            <xm:f>$S$8='Assessment Details'!$Q$23</xm:f>
            <x14:dxf>
              <border>
                <left style="thin">
                  <color theme="0"/>
                </left>
                <right style="thin">
                  <color theme="0"/>
                </right>
                <top style="thin">
                  <color theme="0"/>
                </top>
                <bottom style="thin">
                  <color theme="0"/>
                </bottom>
                <vertical/>
                <horizontal/>
              </border>
            </x14:dxf>
          </x14:cfRule>
          <xm:sqref>G212:G225</xm:sqref>
        </x14:conditionalFormatting>
        <x14:conditionalFormatting xmlns:xm="http://schemas.microsoft.com/office/excel/2006/main">
          <x14:cfRule type="expression" priority="618" id="{859BD1F2-744F-486B-8C55-96B20456F3E0}">
            <xm:f>$S$8='Assessment Details'!$Q$23</xm:f>
            <x14:dxf>
              <font>
                <color theme="0"/>
              </font>
              <fill>
                <patternFill>
                  <bgColor theme="0"/>
                </patternFill>
              </fill>
              <border>
                <vertical/>
                <horizontal/>
              </border>
            </x14:dxf>
          </x14:cfRule>
          <xm:sqref>U212:U225</xm:sqref>
        </x14:conditionalFormatting>
        <x14:conditionalFormatting xmlns:xm="http://schemas.microsoft.com/office/excel/2006/main">
          <x14:cfRule type="expression" priority="617" id="{6B6532E9-94D4-4CB6-B791-5B4CE536DDAB}">
            <xm:f>$S$8='Assessment Details'!$Q$23</xm:f>
            <x14:dxf>
              <border>
                <left style="thin">
                  <color theme="0"/>
                </left>
                <right style="thin">
                  <color theme="0"/>
                </right>
                <top style="thin">
                  <color theme="0"/>
                </top>
                <bottom style="thin">
                  <color theme="0"/>
                </bottom>
                <vertical/>
                <horizontal/>
              </border>
            </x14:dxf>
          </x14:cfRule>
          <xm:sqref>U212:U225</xm:sqref>
        </x14:conditionalFormatting>
        <x14:conditionalFormatting xmlns:xm="http://schemas.microsoft.com/office/excel/2006/main">
          <x14:cfRule type="expression" priority="612" id="{D5EEB7E8-075A-482B-AFC1-51C683A2E573}">
            <xm:f>$S$8='Assessment Details'!$Q$23</xm:f>
            <x14:dxf>
              <font>
                <color theme="0"/>
              </font>
              <fill>
                <patternFill>
                  <bgColor theme="0"/>
                </patternFill>
              </fill>
              <border>
                <vertical/>
                <horizontal/>
              </border>
            </x14:dxf>
          </x14:cfRule>
          <xm:sqref>N212:N225</xm:sqref>
        </x14:conditionalFormatting>
        <x14:conditionalFormatting xmlns:xm="http://schemas.microsoft.com/office/excel/2006/main">
          <x14:cfRule type="expression" priority="611" id="{0B813027-90C8-4BFC-A25A-05CF56010166}">
            <xm:f>$S$8='Assessment Details'!$Q$23</xm:f>
            <x14:dxf>
              <border>
                <left style="thin">
                  <color theme="0"/>
                </left>
                <right style="thin">
                  <color theme="0"/>
                </right>
                <top style="thin">
                  <color theme="0"/>
                </top>
                <bottom style="thin">
                  <color theme="0"/>
                </bottom>
                <vertical/>
                <horizontal/>
              </border>
            </x14:dxf>
          </x14:cfRule>
          <xm:sqref>N212:N225</xm:sqref>
        </x14:conditionalFormatting>
        <x14:conditionalFormatting xmlns:xm="http://schemas.microsoft.com/office/excel/2006/main">
          <x14:cfRule type="expression" priority="606" id="{93639341-C588-40F7-9B23-91C6EB324DC0}">
            <xm:f>$S$8='Assessment Details'!$Q$23</xm:f>
            <x14:dxf>
              <font>
                <color theme="0"/>
              </font>
              <fill>
                <patternFill>
                  <bgColor theme="0"/>
                </patternFill>
              </fill>
              <border>
                <vertical/>
                <horizontal/>
              </border>
            </x14:dxf>
          </x14:cfRule>
          <xm:sqref>U212:U225</xm:sqref>
        </x14:conditionalFormatting>
        <x14:conditionalFormatting xmlns:xm="http://schemas.microsoft.com/office/excel/2006/main">
          <x14:cfRule type="expression" priority="605" id="{7B7128F1-54B0-4D1C-81B6-79A14A8DBC5D}">
            <xm:f>$S$8='Assessment Details'!$Q$23</xm:f>
            <x14:dxf>
              <border>
                <left style="thin">
                  <color theme="0"/>
                </left>
                <right style="thin">
                  <color theme="0"/>
                </right>
                <top style="thin">
                  <color theme="0"/>
                </top>
                <bottom style="thin">
                  <color theme="0"/>
                </bottom>
                <vertical/>
                <horizontal/>
              </border>
            </x14:dxf>
          </x14:cfRule>
          <xm:sqref>U212:U225</xm:sqref>
        </x14:conditionalFormatting>
        <x14:conditionalFormatting xmlns:xm="http://schemas.microsoft.com/office/excel/2006/main">
          <x14:cfRule type="expression" priority="604" id="{CAEE13B0-6E62-49E8-8123-F42128112D58}">
            <xm:f>$S$8='Assessment Details'!$Q$23</xm:f>
            <x14:dxf>
              <font>
                <color theme="0"/>
              </font>
              <fill>
                <patternFill>
                  <bgColor theme="0"/>
                </patternFill>
              </fill>
              <border>
                <vertical/>
                <horizontal/>
              </border>
            </x14:dxf>
          </x14:cfRule>
          <xm:sqref>W212:W225</xm:sqref>
        </x14:conditionalFormatting>
        <x14:conditionalFormatting xmlns:xm="http://schemas.microsoft.com/office/excel/2006/main">
          <x14:cfRule type="expression" priority="603" id="{B122DFB8-CD2D-4DCF-B071-7928086D03E9}">
            <xm:f>$S$8='Assessment Details'!$Q$23</xm:f>
            <x14:dxf>
              <border>
                <left style="thin">
                  <color theme="0"/>
                </left>
                <right style="thin">
                  <color theme="0"/>
                </right>
                <top style="thin">
                  <color theme="0"/>
                </top>
                <bottom style="thin">
                  <color theme="0"/>
                </bottom>
                <vertical/>
                <horizontal/>
              </border>
            </x14:dxf>
          </x14:cfRule>
          <xm:sqref>W212:W225</xm:sqref>
        </x14:conditionalFormatting>
        <x14:conditionalFormatting xmlns:xm="http://schemas.microsoft.com/office/excel/2006/main">
          <x14:cfRule type="expression" priority="636" id="{7C88334D-52CD-4F47-88C6-30AD86C01FC2}">
            <xm:f>$Z$8='Assessment Details'!$Q$23</xm:f>
            <x14:dxf>
              <font>
                <color theme="0"/>
              </font>
              <fill>
                <patternFill>
                  <bgColor theme="0"/>
                </patternFill>
              </fill>
            </x14:dxf>
          </x14:cfRule>
          <xm:sqref>U212:Z225</xm:sqref>
        </x14:conditionalFormatting>
        <x14:conditionalFormatting xmlns:xm="http://schemas.microsoft.com/office/excel/2006/main">
          <x14:cfRule type="expression" priority="637" id="{C715343C-CBDE-46AC-8E04-F1520CC08A4D}">
            <xm:f>$Z$8='Assessment Details'!$Q$23</xm:f>
            <x14:dxf>
              <border>
                <left style="thin">
                  <color theme="0"/>
                </left>
                <right style="thin">
                  <color theme="0"/>
                </right>
                <top style="thin">
                  <color theme="0"/>
                </top>
                <bottom style="thin">
                  <color theme="0"/>
                </bottom>
                <vertical/>
                <horizontal/>
              </border>
            </x14:dxf>
          </x14:cfRule>
          <xm:sqref>U212:Z225</xm:sqref>
        </x14:conditionalFormatting>
        <x14:conditionalFormatting xmlns:xm="http://schemas.microsoft.com/office/excel/2006/main">
          <x14:cfRule type="expression" priority="599" id="{1D0B6816-0ACD-49D3-AC26-20489EC84DC6}">
            <xm:f>$S$8='Assessment Details'!$Q$23</xm:f>
            <x14:dxf>
              <font>
                <color theme="0"/>
              </font>
              <fill>
                <patternFill>
                  <bgColor theme="0"/>
                </patternFill>
              </fill>
              <border>
                <vertical/>
                <horizontal/>
              </border>
            </x14:dxf>
          </x14:cfRule>
          <xm:sqref>N117:S117</xm:sqref>
        </x14:conditionalFormatting>
        <x14:conditionalFormatting xmlns:xm="http://schemas.microsoft.com/office/excel/2006/main">
          <x14:cfRule type="expression" priority="598" id="{D60F16AA-CFD6-478C-B82B-6628FEEA277D}">
            <xm:f>$S$8='Assessment Details'!$Q$23</xm:f>
            <x14:dxf>
              <border>
                <left style="thin">
                  <color theme="0"/>
                </left>
                <right style="thin">
                  <color theme="0"/>
                </right>
                <top style="thin">
                  <color theme="0"/>
                </top>
                <bottom style="thin">
                  <color theme="0"/>
                </bottom>
                <vertical/>
                <horizontal/>
              </border>
            </x14:dxf>
          </x14:cfRule>
          <xm:sqref>N117:S117</xm:sqref>
        </x14:conditionalFormatting>
        <x14:conditionalFormatting xmlns:xm="http://schemas.microsoft.com/office/excel/2006/main">
          <x14:cfRule type="expression" priority="601" id="{356C8871-B85B-4DC4-B3B6-F9AE9E51B2A7}">
            <xm:f>$Z$8='Assessment Details'!$Q$23</xm:f>
            <x14:dxf>
              <font>
                <color theme="0"/>
              </font>
              <fill>
                <patternFill>
                  <bgColor theme="0"/>
                </patternFill>
              </fill>
            </x14:dxf>
          </x14:cfRule>
          <xm:sqref>U117:Z117</xm:sqref>
        </x14:conditionalFormatting>
        <x14:conditionalFormatting xmlns:xm="http://schemas.microsoft.com/office/excel/2006/main">
          <x14:cfRule type="expression" priority="602" id="{EE1426CC-AADA-4C43-89C9-CBC68939AD4E}">
            <xm:f>$Z$8='Assessment Details'!$Q$23</xm:f>
            <x14:dxf>
              <border>
                <left style="thin">
                  <color theme="0"/>
                </left>
                <right style="thin">
                  <color theme="0"/>
                </right>
                <top style="thin">
                  <color theme="0"/>
                </top>
                <bottom style="thin">
                  <color theme="0"/>
                </bottom>
                <vertical/>
                <horizontal/>
              </border>
            </x14:dxf>
          </x14:cfRule>
          <xm:sqref>U117:Z117</xm:sqref>
        </x14:conditionalFormatting>
        <x14:conditionalFormatting xmlns:xm="http://schemas.microsoft.com/office/excel/2006/main">
          <x14:cfRule type="expression" priority="570" id="{AAC646EB-E609-4B62-BA1C-07FADE370399}">
            <xm:f>$S$8='Assessment Details'!$Q$23</xm:f>
            <x14:dxf>
              <font>
                <color theme="0"/>
              </font>
              <fill>
                <patternFill>
                  <bgColor theme="0"/>
                </patternFill>
              </fill>
              <border>
                <vertical/>
                <horizontal/>
              </border>
            </x14:dxf>
          </x14:cfRule>
          <xm:sqref>N116:S116</xm:sqref>
        </x14:conditionalFormatting>
        <x14:conditionalFormatting xmlns:xm="http://schemas.microsoft.com/office/excel/2006/main">
          <x14:cfRule type="expression" priority="569" id="{9F1C9523-6848-4855-B1CE-296AC42A3F84}">
            <xm:f>$S$8='Assessment Details'!$Q$23</xm:f>
            <x14:dxf>
              <border>
                <left style="thin">
                  <color theme="0"/>
                </left>
                <right style="thin">
                  <color theme="0"/>
                </right>
                <top style="thin">
                  <color theme="0"/>
                </top>
                <bottom style="thin">
                  <color theme="0"/>
                </bottom>
                <vertical/>
                <horizontal/>
              </border>
            </x14:dxf>
          </x14:cfRule>
          <xm:sqref>N116:S116</xm:sqref>
        </x14:conditionalFormatting>
        <x14:conditionalFormatting xmlns:xm="http://schemas.microsoft.com/office/excel/2006/main">
          <x14:cfRule type="expression" priority="584" id="{2099D480-B086-4F8D-83F6-F22D9B86716E}">
            <xm:f>$Z$8='Assessment Details'!$Q$23</xm:f>
            <x14:dxf>
              <font>
                <color theme="0"/>
              </font>
              <fill>
                <patternFill>
                  <bgColor theme="0"/>
                </patternFill>
              </fill>
            </x14:dxf>
          </x14:cfRule>
          <xm:sqref>U116:Z116</xm:sqref>
        </x14:conditionalFormatting>
        <x14:conditionalFormatting xmlns:xm="http://schemas.microsoft.com/office/excel/2006/main">
          <x14:cfRule type="expression" priority="585" id="{82BA2FFD-9433-4653-AA4C-7E011B5F0442}">
            <xm:f>$Z$8='Assessment Details'!$Q$23</xm:f>
            <x14:dxf>
              <border>
                <left style="thin">
                  <color theme="0"/>
                </left>
                <right style="thin">
                  <color theme="0"/>
                </right>
                <top style="thin">
                  <color theme="0"/>
                </top>
                <bottom style="thin">
                  <color theme="0"/>
                </bottom>
                <vertical/>
                <horizontal/>
              </border>
            </x14:dxf>
          </x14:cfRule>
          <xm:sqref>U116:Z116</xm:sqref>
        </x14:conditionalFormatting>
        <x14:conditionalFormatting xmlns:xm="http://schemas.microsoft.com/office/excel/2006/main">
          <x14:cfRule type="expression" priority="553" id="{C5236988-C79D-4852-8999-11FFAE35BC9E}">
            <xm:f>$S$8='Assessment Details'!$Q$23</xm:f>
            <x14:dxf>
              <font>
                <color theme="0"/>
              </font>
              <fill>
                <patternFill>
                  <bgColor theme="0"/>
                </patternFill>
              </fill>
              <border>
                <vertical/>
                <horizontal/>
              </border>
            </x14:dxf>
          </x14:cfRule>
          <xm:sqref>N115:S115</xm:sqref>
        </x14:conditionalFormatting>
        <x14:conditionalFormatting xmlns:xm="http://schemas.microsoft.com/office/excel/2006/main">
          <x14:cfRule type="expression" priority="552" id="{DDEF06B5-E1D9-4BD4-89DA-28BA0E1AE4FC}">
            <xm:f>$S$8='Assessment Details'!$Q$23</xm:f>
            <x14:dxf>
              <border>
                <left style="thin">
                  <color theme="0"/>
                </left>
                <right style="thin">
                  <color theme="0"/>
                </right>
                <top style="thin">
                  <color theme="0"/>
                </top>
                <bottom style="thin">
                  <color theme="0"/>
                </bottom>
                <vertical/>
                <horizontal/>
              </border>
            </x14:dxf>
          </x14:cfRule>
          <xm:sqref>N115:S115</xm:sqref>
        </x14:conditionalFormatting>
        <x14:conditionalFormatting xmlns:xm="http://schemas.microsoft.com/office/excel/2006/main">
          <x14:cfRule type="expression" priority="551" id="{C347AA3C-D0B8-4F09-B4D1-36DB18DE78EF}">
            <xm:f>$S$8='Assessment Details'!$Q$23</xm:f>
            <x14:dxf>
              <font>
                <color theme="0"/>
              </font>
              <fill>
                <patternFill>
                  <bgColor theme="0"/>
                </patternFill>
              </fill>
              <border>
                <vertical/>
                <horizontal/>
              </border>
            </x14:dxf>
          </x14:cfRule>
          <xm:sqref>G115</xm:sqref>
        </x14:conditionalFormatting>
        <x14:conditionalFormatting xmlns:xm="http://schemas.microsoft.com/office/excel/2006/main">
          <x14:cfRule type="expression" priority="550" id="{8968B4EF-1BC8-4A39-B0EC-CDE08651E6BB}">
            <xm:f>$S$8='Assessment Details'!$Q$23</xm:f>
            <x14:dxf>
              <border>
                <left style="thin">
                  <color theme="0"/>
                </left>
                <right style="thin">
                  <color theme="0"/>
                </right>
                <top style="thin">
                  <color theme="0"/>
                </top>
                <bottom style="thin">
                  <color theme="0"/>
                </bottom>
                <vertical/>
                <horizontal/>
              </border>
            </x14:dxf>
          </x14:cfRule>
          <xm:sqref>G115</xm:sqref>
        </x14:conditionalFormatting>
        <x14:conditionalFormatting xmlns:xm="http://schemas.microsoft.com/office/excel/2006/main">
          <x14:cfRule type="expression" priority="549" id="{69D85CA4-253D-4379-BE5F-2600F332D9AE}">
            <xm:f>$S$8='Assessment Details'!$Q$23</xm:f>
            <x14:dxf>
              <font>
                <color theme="0"/>
              </font>
              <fill>
                <patternFill>
                  <bgColor theme="0"/>
                </patternFill>
              </fill>
              <border>
                <vertical/>
                <horizontal/>
              </border>
            </x14:dxf>
          </x14:cfRule>
          <xm:sqref>U115</xm:sqref>
        </x14:conditionalFormatting>
        <x14:conditionalFormatting xmlns:xm="http://schemas.microsoft.com/office/excel/2006/main">
          <x14:cfRule type="expression" priority="548" id="{5C0A885D-4C5B-45DD-92FD-4D0E01D2BDDC}">
            <xm:f>$S$8='Assessment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547" id="{D376F328-03D9-4CEE-8BAC-7288D8179742}">
            <xm:f>$S$8='Assessment Details'!$Q$23</xm:f>
            <x14:dxf>
              <font>
                <color theme="0"/>
              </font>
              <fill>
                <patternFill>
                  <bgColor theme="0"/>
                </patternFill>
              </fill>
              <border>
                <vertical/>
                <horizontal/>
              </border>
            </x14:dxf>
          </x14:cfRule>
          <xm:sqref>W115</xm:sqref>
        </x14:conditionalFormatting>
        <x14:conditionalFormatting xmlns:xm="http://schemas.microsoft.com/office/excel/2006/main">
          <x14:cfRule type="expression" priority="546" id="{16FB1F49-1E96-4739-AC5F-3FECD1E2F8D7}">
            <xm:f>$S$8='Assessment Details'!$Q$23</xm:f>
            <x14:dxf>
              <border>
                <left style="thin">
                  <color theme="0"/>
                </left>
                <right style="thin">
                  <color theme="0"/>
                </right>
                <top style="thin">
                  <color theme="0"/>
                </top>
                <bottom style="thin">
                  <color theme="0"/>
                </bottom>
                <vertical/>
                <horizontal/>
              </border>
            </x14:dxf>
          </x14:cfRule>
          <xm:sqref>W115</xm:sqref>
        </x14:conditionalFormatting>
        <x14:conditionalFormatting xmlns:xm="http://schemas.microsoft.com/office/excel/2006/main">
          <x14:cfRule type="expression" priority="567" id="{615ACCA1-B3C1-46D8-8DCA-8569DD362245}">
            <xm:f>$Z$8='Assessment Details'!$Q$23</xm:f>
            <x14:dxf>
              <font>
                <color theme="0"/>
              </font>
              <fill>
                <patternFill>
                  <bgColor theme="0"/>
                </patternFill>
              </fill>
            </x14:dxf>
          </x14:cfRule>
          <xm:sqref>U115:Z115</xm:sqref>
        </x14:conditionalFormatting>
        <x14:conditionalFormatting xmlns:xm="http://schemas.microsoft.com/office/excel/2006/main">
          <x14:cfRule type="expression" priority="568" id="{09B8543E-EE9F-4ACC-816B-265230469AE1}">
            <xm:f>$Z$8='Assessment Details'!$Q$23</xm:f>
            <x14:dxf>
              <border>
                <left style="thin">
                  <color theme="0"/>
                </left>
                <right style="thin">
                  <color theme="0"/>
                </right>
                <top style="thin">
                  <color theme="0"/>
                </top>
                <bottom style="thin">
                  <color theme="0"/>
                </bottom>
                <vertical/>
                <horizontal/>
              </border>
            </x14:dxf>
          </x14:cfRule>
          <xm:sqref>U115:Z115</xm:sqref>
        </x14:conditionalFormatting>
        <x14:conditionalFormatting xmlns:xm="http://schemas.microsoft.com/office/excel/2006/main">
          <x14:cfRule type="expression" priority="542" id="{065B54E9-10FD-4A6F-ABC8-5F7EE8EA1D21}">
            <xm:f>$S$8='Assessment Details'!$Q$23</xm:f>
            <x14:dxf>
              <font>
                <color theme="0"/>
              </font>
              <fill>
                <patternFill>
                  <bgColor theme="0"/>
                </patternFill>
              </fill>
              <border>
                <vertical/>
                <horizontal/>
              </border>
            </x14:dxf>
          </x14:cfRule>
          <xm:sqref>N147:S147</xm:sqref>
        </x14:conditionalFormatting>
        <x14:conditionalFormatting xmlns:xm="http://schemas.microsoft.com/office/excel/2006/main">
          <x14:cfRule type="expression" priority="541" id="{6A970959-C929-4159-981D-2B2BF03B0E28}">
            <xm:f>$S$8='Assessment Details'!$Q$23</xm:f>
            <x14:dxf>
              <border>
                <left style="thin">
                  <color theme="0"/>
                </left>
                <right style="thin">
                  <color theme="0"/>
                </right>
                <top style="thin">
                  <color theme="0"/>
                </top>
                <bottom style="thin">
                  <color theme="0"/>
                </bottom>
                <vertical/>
                <horizontal/>
              </border>
            </x14:dxf>
          </x14:cfRule>
          <xm:sqref>N147:S147</xm:sqref>
        </x14:conditionalFormatting>
        <x14:conditionalFormatting xmlns:xm="http://schemas.microsoft.com/office/excel/2006/main">
          <x14:cfRule type="expression" priority="544" id="{5D0546AA-2DA6-4AAE-94D6-686ECE21A073}">
            <xm:f>$Z$8='Assessment Details'!$Q$23</xm:f>
            <x14:dxf>
              <font>
                <color theme="0"/>
              </font>
              <fill>
                <patternFill>
                  <bgColor theme="0"/>
                </patternFill>
              </fill>
            </x14:dxf>
          </x14:cfRule>
          <xm:sqref>U147:Z147</xm:sqref>
        </x14:conditionalFormatting>
        <x14:conditionalFormatting xmlns:xm="http://schemas.microsoft.com/office/excel/2006/main">
          <x14:cfRule type="expression" priority="545" id="{3E2AAD29-A6D9-4014-8E03-38B448FE21C0}">
            <xm:f>$Z$8='Assessment Details'!$Q$23</xm:f>
            <x14:dxf>
              <border>
                <left style="thin">
                  <color theme="0"/>
                </left>
                <right style="thin">
                  <color theme="0"/>
                </right>
                <top style="thin">
                  <color theme="0"/>
                </top>
                <bottom style="thin">
                  <color theme="0"/>
                </bottom>
                <vertical/>
                <horizontal/>
              </border>
            </x14:dxf>
          </x14:cfRule>
          <xm:sqref>U147:Z147</xm:sqref>
        </x14:conditionalFormatting>
        <x14:conditionalFormatting xmlns:xm="http://schemas.microsoft.com/office/excel/2006/main">
          <x14:cfRule type="expression" priority="496" id="{EFF4629E-F88C-401C-B24C-4393F3F8C395}">
            <xm:f>$S$8='Assessment Details'!$Q$23</xm:f>
            <x14:dxf>
              <font>
                <color theme="0"/>
              </font>
              <fill>
                <patternFill>
                  <bgColor theme="0"/>
                </patternFill>
              </fill>
              <border>
                <vertical/>
                <horizontal/>
              </border>
            </x14:dxf>
          </x14:cfRule>
          <xm:sqref>N146:S146</xm:sqref>
        </x14:conditionalFormatting>
        <x14:conditionalFormatting xmlns:xm="http://schemas.microsoft.com/office/excel/2006/main">
          <x14:cfRule type="expression" priority="495" id="{D2372C6D-1B3D-4954-940A-8D4EAD377660}">
            <xm:f>$S$8='Assessment Details'!$Q$23</xm:f>
            <x14:dxf>
              <border>
                <left style="thin">
                  <color theme="0"/>
                </left>
                <right style="thin">
                  <color theme="0"/>
                </right>
                <top style="thin">
                  <color theme="0"/>
                </top>
                <bottom style="thin">
                  <color theme="0"/>
                </bottom>
                <vertical/>
                <horizontal/>
              </border>
            </x14:dxf>
          </x14:cfRule>
          <xm:sqref>N146:S146</xm:sqref>
        </x14:conditionalFormatting>
        <x14:conditionalFormatting xmlns:xm="http://schemas.microsoft.com/office/excel/2006/main">
          <x14:cfRule type="expression" priority="510" id="{C7AF57F1-B3E5-46E1-A3EA-2655E8B396D8}">
            <xm:f>$Z$8='Assessment Details'!$Q$23</xm:f>
            <x14:dxf>
              <font>
                <color theme="0"/>
              </font>
              <fill>
                <patternFill>
                  <bgColor theme="0"/>
                </patternFill>
              </fill>
            </x14:dxf>
          </x14:cfRule>
          <xm:sqref>U146:Z146</xm:sqref>
        </x14:conditionalFormatting>
        <x14:conditionalFormatting xmlns:xm="http://schemas.microsoft.com/office/excel/2006/main">
          <x14:cfRule type="expression" priority="511" id="{293256E3-6A2E-441F-9171-D17EC6DDEFEF}">
            <xm:f>$Z$8='Assessment Details'!$Q$23</xm:f>
            <x14:dxf>
              <border>
                <left style="thin">
                  <color theme="0"/>
                </left>
                <right style="thin">
                  <color theme="0"/>
                </right>
                <top style="thin">
                  <color theme="0"/>
                </top>
                <bottom style="thin">
                  <color theme="0"/>
                </bottom>
                <vertical/>
                <horizontal/>
              </border>
            </x14:dxf>
          </x14:cfRule>
          <xm:sqref>U146:Z146</xm:sqref>
        </x14:conditionalFormatting>
        <x14:conditionalFormatting xmlns:xm="http://schemas.microsoft.com/office/excel/2006/main">
          <x14:cfRule type="expression" priority="479" id="{3C999881-22D4-4377-B422-96E7BA4A6D7C}">
            <xm:f>$S$8='Assessment Details'!$Q$23</xm:f>
            <x14:dxf>
              <font>
                <color theme="0"/>
              </font>
              <fill>
                <patternFill>
                  <bgColor theme="0"/>
                </patternFill>
              </fill>
              <border>
                <vertical/>
                <horizontal/>
              </border>
            </x14:dxf>
          </x14:cfRule>
          <xm:sqref>N145:S145</xm:sqref>
        </x14:conditionalFormatting>
        <x14:conditionalFormatting xmlns:xm="http://schemas.microsoft.com/office/excel/2006/main">
          <x14:cfRule type="expression" priority="478" id="{9EA097CD-30CD-4E04-894B-CC20B8E1FC75}">
            <xm:f>$S$8='Assessment Details'!$Q$23</xm:f>
            <x14:dxf>
              <border>
                <left style="thin">
                  <color theme="0"/>
                </left>
                <right style="thin">
                  <color theme="0"/>
                </right>
                <top style="thin">
                  <color theme="0"/>
                </top>
                <bottom style="thin">
                  <color theme="0"/>
                </bottom>
                <vertical/>
                <horizontal/>
              </border>
            </x14:dxf>
          </x14:cfRule>
          <xm:sqref>N145:S145</xm:sqref>
        </x14:conditionalFormatting>
        <x14:conditionalFormatting xmlns:xm="http://schemas.microsoft.com/office/excel/2006/main">
          <x14:cfRule type="expression" priority="477" id="{71344784-8930-41DD-9068-F1A27456F2FB}">
            <xm:f>$S$8='Assessment Details'!$Q$23</xm:f>
            <x14:dxf>
              <font>
                <color theme="0"/>
              </font>
              <fill>
                <patternFill>
                  <bgColor theme="0"/>
                </patternFill>
              </fill>
              <border>
                <vertical/>
                <horizontal/>
              </border>
            </x14:dxf>
          </x14:cfRule>
          <xm:sqref>G145</xm:sqref>
        </x14:conditionalFormatting>
        <x14:conditionalFormatting xmlns:xm="http://schemas.microsoft.com/office/excel/2006/main">
          <x14:cfRule type="expression" priority="476" id="{17D3BFAC-3ED5-46B7-8A87-FDE46A9FE42C}">
            <xm:f>$S$8='Assessment Details'!$Q$23</xm:f>
            <x14:dxf>
              <border>
                <left style="thin">
                  <color theme="0"/>
                </left>
                <right style="thin">
                  <color theme="0"/>
                </right>
                <top style="thin">
                  <color theme="0"/>
                </top>
                <bottom style="thin">
                  <color theme="0"/>
                </bottom>
                <vertical/>
                <horizontal/>
              </border>
            </x14:dxf>
          </x14:cfRule>
          <xm:sqref>G145</xm:sqref>
        </x14:conditionalFormatting>
        <x14:conditionalFormatting xmlns:xm="http://schemas.microsoft.com/office/excel/2006/main">
          <x14:cfRule type="expression" priority="475" id="{4D33337E-30D9-4C34-AEC2-F855097553FE}">
            <xm:f>$S$8='Assessment Details'!$Q$23</xm:f>
            <x14:dxf>
              <font>
                <color theme="0"/>
              </font>
              <fill>
                <patternFill>
                  <bgColor theme="0"/>
                </patternFill>
              </fill>
              <border>
                <vertical/>
                <horizontal/>
              </border>
            </x14:dxf>
          </x14:cfRule>
          <xm:sqref>U145</xm:sqref>
        </x14:conditionalFormatting>
        <x14:conditionalFormatting xmlns:xm="http://schemas.microsoft.com/office/excel/2006/main">
          <x14:cfRule type="expression" priority="474" id="{6D8C878D-D96F-446E-96C6-477ED50893A3}">
            <xm:f>$S$8='Assessment Details'!$Q$23</xm:f>
            <x14:dxf>
              <border>
                <left style="thin">
                  <color theme="0"/>
                </left>
                <right style="thin">
                  <color theme="0"/>
                </right>
                <top style="thin">
                  <color theme="0"/>
                </top>
                <bottom style="thin">
                  <color theme="0"/>
                </bottom>
                <vertical/>
                <horizontal/>
              </border>
            </x14:dxf>
          </x14:cfRule>
          <xm:sqref>U145</xm:sqref>
        </x14:conditionalFormatting>
        <x14:conditionalFormatting xmlns:xm="http://schemas.microsoft.com/office/excel/2006/main">
          <x14:cfRule type="expression" priority="473" id="{15294CC7-DCC1-4D84-827F-CB285653FCF0}">
            <xm:f>$S$8='Assessment Details'!$Q$23</xm:f>
            <x14:dxf>
              <font>
                <color theme="0"/>
              </font>
              <fill>
                <patternFill>
                  <bgColor theme="0"/>
                </patternFill>
              </fill>
              <border>
                <vertical/>
                <horizontal/>
              </border>
            </x14:dxf>
          </x14:cfRule>
          <xm:sqref>W145</xm:sqref>
        </x14:conditionalFormatting>
        <x14:conditionalFormatting xmlns:xm="http://schemas.microsoft.com/office/excel/2006/main">
          <x14:cfRule type="expression" priority="472" id="{E7CDA425-F81B-49E1-93FB-886D21F2B0CF}">
            <xm:f>$S$8='Assessment Details'!$Q$23</xm:f>
            <x14:dxf>
              <border>
                <left style="thin">
                  <color theme="0"/>
                </left>
                <right style="thin">
                  <color theme="0"/>
                </right>
                <top style="thin">
                  <color theme="0"/>
                </top>
                <bottom style="thin">
                  <color theme="0"/>
                </bottom>
                <vertical/>
                <horizontal/>
              </border>
            </x14:dxf>
          </x14:cfRule>
          <xm:sqref>W145</xm:sqref>
        </x14:conditionalFormatting>
        <x14:conditionalFormatting xmlns:xm="http://schemas.microsoft.com/office/excel/2006/main">
          <x14:cfRule type="expression" priority="493" id="{03FF957A-6047-4E35-9C1E-8D0487FCDA7B}">
            <xm:f>$Z$8='Assessment Details'!$Q$23</xm:f>
            <x14:dxf>
              <font>
                <color theme="0"/>
              </font>
              <fill>
                <patternFill>
                  <bgColor theme="0"/>
                </patternFill>
              </fill>
            </x14:dxf>
          </x14:cfRule>
          <xm:sqref>U145:Z145</xm:sqref>
        </x14:conditionalFormatting>
        <x14:conditionalFormatting xmlns:xm="http://schemas.microsoft.com/office/excel/2006/main">
          <x14:cfRule type="expression" priority="494" id="{00343659-48AD-46B3-B4BB-B29A3AEFEEC2}">
            <xm:f>$Z$8='Assessment Details'!$Q$23</xm:f>
            <x14:dxf>
              <border>
                <left style="thin">
                  <color theme="0"/>
                </left>
                <right style="thin">
                  <color theme="0"/>
                </right>
                <top style="thin">
                  <color theme="0"/>
                </top>
                <bottom style="thin">
                  <color theme="0"/>
                </bottom>
                <vertical/>
                <horizontal/>
              </border>
            </x14:dxf>
          </x14:cfRule>
          <xm:sqref>U145:Z145</xm:sqref>
        </x14:conditionalFormatting>
        <x14:conditionalFormatting xmlns:xm="http://schemas.microsoft.com/office/excel/2006/main">
          <x14:cfRule type="expression" priority="468" id="{FD0DBAA9-F08E-4C14-A08B-651DCC9992C3}">
            <xm:f>$S$8='Assessment Details'!$Q$23</xm:f>
            <x14:dxf>
              <font>
                <color theme="0"/>
              </font>
              <fill>
                <patternFill>
                  <bgColor theme="0"/>
                </patternFill>
              </fill>
              <border>
                <vertical/>
                <horizontal/>
              </border>
            </x14:dxf>
          </x14:cfRule>
          <xm:sqref>N162:S162</xm:sqref>
        </x14:conditionalFormatting>
        <x14:conditionalFormatting xmlns:xm="http://schemas.microsoft.com/office/excel/2006/main">
          <x14:cfRule type="expression" priority="467" id="{8F97BEAF-6DAD-4787-BD1B-9857C179295C}">
            <xm:f>$S$8='Assessment Details'!$Q$23</xm:f>
            <x14:dxf>
              <border>
                <left style="thin">
                  <color theme="0"/>
                </left>
                <right style="thin">
                  <color theme="0"/>
                </right>
                <top style="thin">
                  <color theme="0"/>
                </top>
                <bottom style="thin">
                  <color theme="0"/>
                </bottom>
                <vertical/>
                <horizontal/>
              </border>
            </x14:dxf>
          </x14:cfRule>
          <xm:sqref>N162:S162</xm:sqref>
        </x14:conditionalFormatting>
        <x14:conditionalFormatting xmlns:xm="http://schemas.microsoft.com/office/excel/2006/main">
          <x14:cfRule type="expression" priority="470" id="{141B743C-5323-4893-8270-4A989CC4771B}">
            <xm:f>$Z$8='Assessment Details'!$Q$23</xm:f>
            <x14:dxf>
              <font>
                <color theme="0"/>
              </font>
              <fill>
                <patternFill>
                  <bgColor theme="0"/>
                </patternFill>
              </fill>
            </x14:dxf>
          </x14:cfRule>
          <xm:sqref>U162:Z162</xm:sqref>
        </x14:conditionalFormatting>
        <x14:conditionalFormatting xmlns:xm="http://schemas.microsoft.com/office/excel/2006/main">
          <x14:cfRule type="expression" priority="471" id="{7735BDAE-C7D8-43C2-B4B1-85AE25DE2A5B}">
            <xm:f>$Z$8='Assessment Details'!$Q$23</xm:f>
            <x14:dxf>
              <border>
                <left style="thin">
                  <color theme="0"/>
                </left>
                <right style="thin">
                  <color theme="0"/>
                </right>
                <top style="thin">
                  <color theme="0"/>
                </top>
                <bottom style="thin">
                  <color theme="0"/>
                </bottom>
                <vertical/>
                <horizontal/>
              </border>
            </x14:dxf>
          </x14:cfRule>
          <xm:sqref>U162:Z162</xm:sqref>
        </x14:conditionalFormatting>
        <x14:conditionalFormatting xmlns:xm="http://schemas.microsoft.com/office/excel/2006/main">
          <x14:cfRule type="expression" priority="405" id="{D4593B21-BCBD-41EE-93A1-FDE51180C2A0}">
            <xm:f>$S$8='Assessment Details'!$Q$23</xm:f>
            <x14:dxf>
              <font>
                <color theme="0"/>
              </font>
              <fill>
                <patternFill>
                  <bgColor theme="0"/>
                </patternFill>
              </fill>
              <border>
                <vertical/>
                <horizontal/>
              </border>
            </x14:dxf>
          </x14:cfRule>
          <xm:sqref>N161:S161</xm:sqref>
        </x14:conditionalFormatting>
        <x14:conditionalFormatting xmlns:xm="http://schemas.microsoft.com/office/excel/2006/main">
          <x14:cfRule type="expression" priority="404" id="{E86AD8DD-06EB-41C6-889C-62DF146A38E0}">
            <xm:f>$S$8='Assessment Details'!$Q$23</xm:f>
            <x14:dxf>
              <border>
                <left style="thin">
                  <color theme="0"/>
                </left>
                <right style="thin">
                  <color theme="0"/>
                </right>
                <top style="thin">
                  <color theme="0"/>
                </top>
                <bottom style="thin">
                  <color theme="0"/>
                </bottom>
                <vertical/>
                <horizontal/>
              </border>
            </x14:dxf>
          </x14:cfRule>
          <xm:sqref>N161:S161</xm:sqref>
        </x14:conditionalFormatting>
        <x14:conditionalFormatting xmlns:xm="http://schemas.microsoft.com/office/excel/2006/main">
          <x14:cfRule type="expression" priority="419" id="{CE6C71F0-8DE5-40BB-90F5-389E0D4FCAF6}">
            <xm:f>$Z$8='Assessment Details'!$Q$23</xm:f>
            <x14:dxf>
              <font>
                <color theme="0"/>
              </font>
              <fill>
                <patternFill>
                  <bgColor theme="0"/>
                </patternFill>
              </fill>
            </x14:dxf>
          </x14:cfRule>
          <xm:sqref>U161:Z161</xm:sqref>
        </x14:conditionalFormatting>
        <x14:conditionalFormatting xmlns:xm="http://schemas.microsoft.com/office/excel/2006/main">
          <x14:cfRule type="expression" priority="420" id="{B4FF73DB-7FC4-4D3A-86B8-14B54CD36108}">
            <xm:f>$Z$8='Assessment Details'!$Q$23</xm:f>
            <x14:dxf>
              <border>
                <left style="thin">
                  <color theme="0"/>
                </left>
                <right style="thin">
                  <color theme="0"/>
                </right>
                <top style="thin">
                  <color theme="0"/>
                </top>
                <bottom style="thin">
                  <color theme="0"/>
                </bottom>
                <vertical/>
                <horizontal/>
              </border>
            </x14:dxf>
          </x14:cfRule>
          <xm:sqref>U161:Z161</xm:sqref>
        </x14:conditionalFormatting>
        <x14:conditionalFormatting xmlns:xm="http://schemas.microsoft.com/office/excel/2006/main">
          <x14:cfRule type="expression" priority="400" id="{DF0939D4-5C86-416C-A01A-143B9BBE00FB}">
            <xm:f>$S$8='Assessment Details'!$Q$23</xm:f>
            <x14:dxf>
              <font>
                <color theme="0"/>
              </font>
              <fill>
                <patternFill>
                  <bgColor theme="0"/>
                </patternFill>
              </fill>
              <border>
                <vertical/>
                <horizontal/>
              </border>
            </x14:dxf>
          </x14:cfRule>
          <xm:sqref>N194:S194</xm:sqref>
        </x14:conditionalFormatting>
        <x14:conditionalFormatting xmlns:xm="http://schemas.microsoft.com/office/excel/2006/main">
          <x14:cfRule type="expression" priority="399" id="{49C30E61-8273-4E18-B379-F23FBB54C136}">
            <xm:f>$S$8='Assessment Details'!$Q$23</xm:f>
            <x14:dxf>
              <border>
                <left style="thin">
                  <color theme="0"/>
                </left>
                <right style="thin">
                  <color theme="0"/>
                </right>
                <top style="thin">
                  <color theme="0"/>
                </top>
                <bottom style="thin">
                  <color theme="0"/>
                </bottom>
                <vertical/>
                <horizontal/>
              </border>
            </x14:dxf>
          </x14:cfRule>
          <xm:sqref>N194:S194</xm:sqref>
        </x14:conditionalFormatting>
        <x14:conditionalFormatting xmlns:xm="http://schemas.microsoft.com/office/excel/2006/main">
          <x14:cfRule type="expression" priority="402" id="{FE2F6299-E911-4B63-83B8-9AD7D7FCE704}">
            <xm:f>$Z$8='Assessment Details'!$Q$23</xm:f>
            <x14:dxf>
              <font>
                <color theme="0"/>
              </font>
              <fill>
                <patternFill>
                  <bgColor theme="0"/>
                </patternFill>
              </fill>
            </x14:dxf>
          </x14:cfRule>
          <xm:sqref>U194:Z194</xm:sqref>
        </x14:conditionalFormatting>
        <x14:conditionalFormatting xmlns:xm="http://schemas.microsoft.com/office/excel/2006/main">
          <x14:cfRule type="expression" priority="403" id="{10469AA9-0936-4CA9-8992-101317D5B895}">
            <xm:f>$Z$8='Assessment Details'!$Q$23</xm:f>
            <x14:dxf>
              <border>
                <left style="thin">
                  <color theme="0"/>
                </left>
                <right style="thin">
                  <color theme="0"/>
                </right>
                <top style="thin">
                  <color theme="0"/>
                </top>
                <bottom style="thin">
                  <color theme="0"/>
                </bottom>
                <vertical/>
                <horizontal/>
              </border>
            </x14:dxf>
          </x14:cfRule>
          <xm:sqref>U194:Z194</xm:sqref>
        </x14:conditionalFormatting>
        <x14:conditionalFormatting xmlns:xm="http://schemas.microsoft.com/office/excel/2006/main">
          <x14:cfRule type="expression" priority="337" id="{172ABDCD-A906-4466-9501-00076A6F915E}">
            <xm:f>$S$8='Assessment Details'!$Q$23</xm:f>
            <x14:dxf>
              <font>
                <color theme="0"/>
              </font>
              <fill>
                <patternFill>
                  <bgColor theme="0"/>
                </patternFill>
              </fill>
              <border>
                <vertical/>
                <horizontal/>
              </border>
            </x14:dxf>
          </x14:cfRule>
          <xm:sqref>N193:S193</xm:sqref>
        </x14:conditionalFormatting>
        <x14:conditionalFormatting xmlns:xm="http://schemas.microsoft.com/office/excel/2006/main">
          <x14:cfRule type="expression" priority="336" id="{8F551B71-707E-4638-864F-D436EACC243A}">
            <xm:f>$S$8='Assessment Details'!$Q$23</xm:f>
            <x14:dxf>
              <border>
                <left style="thin">
                  <color theme="0"/>
                </left>
                <right style="thin">
                  <color theme="0"/>
                </right>
                <top style="thin">
                  <color theme="0"/>
                </top>
                <bottom style="thin">
                  <color theme="0"/>
                </bottom>
                <vertical/>
                <horizontal/>
              </border>
            </x14:dxf>
          </x14:cfRule>
          <xm:sqref>N193:S193</xm:sqref>
        </x14:conditionalFormatting>
        <x14:conditionalFormatting xmlns:xm="http://schemas.microsoft.com/office/excel/2006/main">
          <x14:cfRule type="expression" priority="351" id="{0F515721-4D9F-4F7F-93BD-6FDC7B480D17}">
            <xm:f>$Z$8='Assessment Details'!$Q$23</xm:f>
            <x14:dxf>
              <font>
                <color theme="0"/>
              </font>
              <fill>
                <patternFill>
                  <bgColor theme="0"/>
                </patternFill>
              </fill>
            </x14:dxf>
          </x14:cfRule>
          <xm:sqref>U193:Z193</xm:sqref>
        </x14:conditionalFormatting>
        <x14:conditionalFormatting xmlns:xm="http://schemas.microsoft.com/office/excel/2006/main">
          <x14:cfRule type="expression" priority="352" id="{3AADF273-AAA5-44D8-A001-A16F769A1DEA}">
            <xm:f>$Z$8='Assessment Details'!$Q$23</xm:f>
            <x14:dxf>
              <border>
                <left style="thin">
                  <color theme="0"/>
                </left>
                <right style="thin">
                  <color theme="0"/>
                </right>
                <top style="thin">
                  <color theme="0"/>
                </top>
                <bottom style="thin">
                  <color theme="0"/>
                </bottom>
                <vertical/>
                <horizontal/>
              </border>
            </x14:dxf>
          </x14:cfRule>
          <xm:sqref>U193:Z193</xm:sqref>
        </x14:conditionalFormatting>
        <x14:conditionalFormatting xmlns:xm="http://schemas.microsoft.com/office/excel/2006/main">
          <x14:cfRule type="expression" priority="320" id="{8902EC28-A13A-4568-8D35-D2BD2AC15F0E}">
            <xm:f>$S$8='Assessment Details'!$Q$23</xm:f>
            <x14:dxf>
              <font>
                <color theme="0"/>
              </font>
              <fill>
                <patternFill>
                  <bgColor theme="0"/>
                </patternFill>
              </fill>
              <border>
                <vertical/>
                <horizontal/>
              </border>
            </x14:dxf>
          </x14:cfRule>
          <xm:sqref>N160:S160</xm:sqref>
        </x14:conditionalFormatting>
        <x14:conditionalFormatting xmlns:xm="http://schemas.microsoft.com/office/excel/2006/main">
          <x14:cfRule type="expression" priority="319" id="{2BBF6B89-459D-4AE7-8F3C-7D0CDA267539}">
            <xm:f>$S$8='Assessment Details'!$Q$23</xm:f>
            <x14:dxf>
              <border>
                <left style="thin">
                  <color theme="0"/>
                </left>
                <right style="thin">
                  <color theme="0"/>
                </right>
                <top style="thin">
                  <color theme="0"/>
                </top>
                <bottom style="thin">
                  <color theme="0"/>
                </bottom>
                <vertical/>
                <horizontal/>
              </border>
            </x14:dxf>
          </x14:cfRule>
          <xm:sqref>N160:S160</xm:sqref>
        </x14:conditionalFormatting>
        <x14:conditionalFormatting xmlns:xm="http://schemas.microsoft.com/office/excel/2006/main">
          <x14:cfRule type="expression" priority="318" id="{78FAA767-EF37-463D-829F-0B1AF2BEDA83}">
            <xm:f>$S$8='Assessment Details'!$Q$23</xm:f>
            <x14:dxf>
              <font>
                <color theme="0"/>
              </font>
              <fill>
                <patternFill>
                  <bgColor theme="0"/>
                </patternFill>
              </fill>
              <border>
                <vertical/>
                <horizontal/>
              </border>
            </x14:dxf>
          </x14:cfRule>
          <xm:sqref>G160</xm:sqref>
        </x14:conditionalFormatting>
        <x14:conditionalFormatting xmlns:xm="http://schemas.microsoft.com/office/excel/2006/main">
          <x14:cfRule type="expression" priority="317" id="{59A148E8-E2E2-4C13-9BA7-4917EEFC9810}">
            <xm:f>$S$8='Assessment Details'!$Q$23</xm:f>
            <x14:dxf>
              <border>
                <left style="thin">
                  <color theme="0"/>
                </left>
                <right style="thin">
                  <color theme="0"/>
                </right>
                <top style="thin">
                  <color theme="0"/>
                </top>
                <bottom style="thin">
                  <color theme="0"/>
                </bottom>
                <vertical/>
                <horizontal/>
              </border>
            </x14:dxf>
          </x14:cfRule>
          <xm:sqref>G160</xm:sqref>
        </x14:conditionalFormatting>
        <x14:conditionalFormatting xmlns:xm="http://schemas.microsoft.com/office/excel/2006/main">
          <x14:cfRule type="expression" priority="316" id="{86C6382E-6A5F-4F5E-AC04-32CFAFDEB67A}">
            <xm:f>$S$8='Assessment Details'!$Q$23</xm:f>
            <x14:dxf>
              <font>
                <color theme="0"/>
              </font>
              <fill>
                <patternFill>
                  <bgColor theme="0"/>
                </patternFill>
              </fill>
              <border>
                <vertical/>
                <horizontal/>
              </border>
            </x14:dxf>
          </x14:cfRule>
          <xm:sqref>U160</xm:sqref>
        </x14:conditionalFormatting>
        <x14:conditionalFormatting xmlns:xm="http://schemas.microsoft.com/office/excel/2006/main">
          <x14:cfRule type="expression" priority="315" id="{F2C142DA-9146-48ED-8F06-FFE18D63DF4B}">
            <xm:f>$S$8='Assessment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314" id="{7764DF05-321F-47B2-B72A-C2A9A1A2FECF}">
            <xm:f>$S$8='Assessment Details'!$Q$23</xm:f>
            <x14:dxf>
              <font>
                <color theme="0"/>
              </font>
              <fill>
                <patternFill>
                  <bgColor theme="0"/>
                </patternFill>
              </fill>
              <border>
                <vertical/>
                <horizontal/>
              </border>
            </x14:dxf>
          </x14:cfRule>
          <xm:sqref>W160</xm:sqref>
        </x14:conditionalFormatting>
        <x14:conditionalFormatting xmlns:xm="http://schemas.microsoft.com/office/excel/2006/main">
          <x14:cfRule type="expression" priority="313" id="{B82C095B-4C92-4313-875D-746BDAEB18CC}">
            <xm:f>$S$8='Assessment Details'!$Q$23</xm:f>
            <x14:dxf>
              <border>
                <left style="thin">
                  <color theme="0"/>
                </left>
                <right style="thin">
                  <color theme="0"/>
                </right>
                <top style="thin">
                  <color theme="0"/>
                </top>
                <bottom style="thin">
                  <color theme="0"/>
                </bottom>
                <vertical/>
                <horizontal/>
              </border>
            </x14:dxf>
          </x14:cfRule>
          <xm:sqref>W160</xm:sqref>
        </x14:conditionalFormatting>
        <x14:conditionalFormatting xmlns:xm="http://schemas.microsoft.com/office/excel/2006/main">
          <x14:cfRule type="expression" priority="334" id="{4FFB8211-36DB-4191-95CE-5B1D4C18C8BD}">
            <xm:f>$Z$8='Assessment Details'!$Q$23</xm:f>
            <x14:dxf>
              <font>
                <color theme="0"/>
              </font>
              <fill>
                <patternFill>
                  <bgColor theme="0"/>
                </patternFill>
              </fill>
            </x14:dxf>
          </x14:cfRule>
          <xm:sqref>U160:Z160</xm:sqref>
        </x14:conditionalFormatting>
        <x14:conditionalFormatting xmlns:xm="http://schemas.microsoft.com/office/excel/2006/main">
          <x14:cfRule type="expression" priority="335" id="{872ADC80-9CAB-401C-921D-E536F46A4077}">
            <xm:f>$Z$8='Assessment Details'!$Q$23</xm:f>
            <x14:dxf>
              <border>
                <left style="thin">
                  <color theme="0"/>
                </left>
                <right style="thin">
                  <color theme="0"/>
                </right>
                <top style="thin">
                  <color theme="0"/>
                </top>
                <bottom style="thin">
                  <color theme="0"/>
                </bottom>
                <vertical/>
                <horizontal/>
              </border>
            </x14:dxf>
          </x14:cfRule>
          <xm:sqref>U160:Z160</xm:sqref>
        </x14:conditionalFormatting>
        <x14:conditionalFormatting xmlns:xm="http://schemas.microsoft.com/office/excel/2006/main">
          <x14:cfRule type="expression" priority="297" id="{1F82CB99-86B1-4C85-BE83-6F868889274E}">
            <xm:f>$S$8='Assessment Details'!$Q$23</xm:f>
            <x14:dxf>
              <font>
                <color theme="0"/>
              </font>
              <fill>
                <patternFill>
                  <bgColor theme="0"/>
                </patternFill>
              </fill>
              <border>
                <vertical/>
                <horizontal/>
              </border>
            </x14:dxf>
          </x14:cfRule>
          <xm:sqref>N192:S192</xm:sqref>
        </x14:conditionalFormatting>
        <x14:conditionalFormatting xmlns:xm="http://schemas.microsoft.com/office/excel/2006/main">
          <x14:cfRule type="expression" priority="296" id="{66C2E343-3C3F-45C5-9998-4F365A5E1218}">
            <xm:f>$S$8='Assessment Details'!$Q$23</xm:f>
            <x14:dxf>
              <border>
                <left style="thin">
                  <color theme="0"/>
                </left>
                <right style="thin">
                  <color theme="0"/>
                </right>
                <top style="thin">
                  <color theme="0"/>
                </top>
                <bottom style="thin">
                  <color theme="0"/>
                </bottom>
                <vertical/>
                <horizontal/>
              </border>
            </x14:dxf>
          </x14:cfRule>
          <xm:sqref>N192:S192</xm:sqref>
        </x14:conditionalFormatting>
        <x14:conditionalFormatting xmlns:xm="http://schemas.microsoft.com/office/excel/2006/main">
          <x14:cfRule type="expression" priority="295" id="{18E0E177-DB10-4CCD-A6DD-FD5DBC3B9C04}">
            <xm:f>$S$8='Assessment Details'!$Q$23</xm:f>
            <x14:dxf>
              <font>
                <color theme="0"/>
              </font>
              <fill>
                <patternFill>
                  <bgColor theme="0"/>
                </patternFill>
              </fill>
              <border>
                <vertical/>
                <horizontal/>
              </border>
            </x14:dxf>
          </x14:cfRule>
          <xm:sqref>G192</xm:sqref>
        </x14:conditionalFormatting>
        <x14:conditionalFormatting xmlns:xm="http://schemas.microsoft.com/office/excel/2006/main">
          <x14:cfRule type="expression" priority="294" id="{16044C0A-A5C9-418D-A32A-9B5B3A75A31B}">
            <xm:f>$S$8='Assessment Details'!$Q$23</xm:f>
            <x14:dxf>
              <border>
                <left style="thin">
                  <color theme="0"/>
                </left>
                <right style="thin">
                  <color theme="0"/>
                </right>
                <top style="thin">
                  <color theme="0"/>
                </top>
                <bottom style="thin">
                  <color theme="0"/>
                </bottom>
                <vertical/>
                <horizontal/>
              </border>
            </x14:dxf>
          </x14:cfRule>
          <xm:sqref>G192</xm:sqref>
        </x14:conditionalFormatting>
        <x14:conditionalFormatting xmlns:xm="http://schemas.microsoft.com/office/excel/2006/main">
          <x14:cfRule type="expression" priority="293" id="{2CF24D95-D6A8-4ADF-AC6C-7911EAD520DC}">
            <xm:f>$S$8='Assessment Details'!$Q$23</xm:f>
            <x14:dxf>
              <font>
                <color theme="0"/>
              </font>
              <fill>
                <patternFill>
                  <bgColor theme="0"/>
                </patternFill>
              </fill>
              <border>
                <vertical/>
                <horizontal/>
              </border>
            </x14:dxf>
          </x14:cfRule>
          <xm:sqref>U192</xm:sqref>
        </x14:conditionalFormatting>
        <x14:conditionalFormatting xmlns:xm="http://schemas.microsoft.com/office/excel/2006/main">
          <x14:cfRule type="expression" priority="292" id="{FAAED642-554E-45E4-A2BB-A825EAA86F61}">
            <xm:f>$S$8='Assessment Details'!$Q$23</xm:f>
            <x14:dxf>
              <border>
                <left style="thin">
                  <color theme="0"/>
                </left>
                <right style="thin">
                  <color theme="0"/>
                </right>
                <top style="thin">
                  <color theme="0"/>
                </top>
                <bottom style="thin">
                  <color theme="0"/>
                </bottom>
                <vertical/>
                <horizontal/>
              </border>
            </x14:dxf>
          </x14:cfRule>
          <xm:sqref>U192</xm:sqref>
        </x14:conditionalFormatting>
        <x14:conditionalFormatting xmlns:xm="http://schemas.microsoft.com/office/excel/2006/main">
          <x14:cfRule type="expression" priority="291" id="{D4D93F42-D640-4B23-AD37-7880348A1394}">
            <xm:f>$S$8='Assessment Details'!$Q$23</xm:f>
            <x14:dxf>
              <font>
                <color theme="0"/>
              </font>
              <fill>
                <patternFill>
                  <bgColor theme="0"/>
                </patternFill>
              </fill>
              <border>
                <vertical/>
                <horizontal/>
              </border>
            </x14:dxf>
          </x14:cfRule>
          <xm:sqref>W192</xm:sqref>
        </x14:conditionalFormatting>
        <x14:conditionalFormatting xmlns:xm="http://schemas.microsoft.com/office/excel/2006/main">
          <x14:cfRule type="expression" priority="290" id="{BB2B278B-8E0D-4158-AD07-028EBC4D35F8}">
            <xm:f>$S$8='Assessment Details'!$Q$23</xm:f>
            <x14:dxf>
              <border>
                <left style="thin">
                  <color theme="0"/>
                </left>
                <right style="thin">
                  <color theme="0"/>
                </right>
                <top style="thin">
                  <color theme="0"/>
                </top>
                <bottom style="thin">
                  <color theme="0"/>
                </bottom>
                <vertical/>
                <horizontal/>
              </border>
            </x14:dxf>
          </x14:cfRule>
          <xm:sqref>W192</xm:sqref>
        </x14:conditionalFormatting>
        <x14:conditionalFormatting xmlns:xm="http://schemas.microsoft.com/office/excel/2006/main">
          <x14:cfRule type="expression" priority="311" id="{5418D619-AB96-4D2C-8C16-E5050535D56A}">
            <xm:f>$Z$8='Assessment Details'!$Q$23</xm:f>
            <x14:dxf>
              <font>
                <color theme="0"/>
              </font>
              <fill>
                <patternFill>
                  <bgColor theme="0"/>
                </patternFill>
              </fill>
            </x14:dxf>
          </x14:cfRule>
          <xm:sqref>U192:Z192</xm:sqref>
        </x14:conditionalFormatting>
        <x14:conditionalFormatting xmlns:xm="http://schemas.microsoft.com/office/excel/2006/main">
          <x14:cfRule type="expression" priority="312" id="{F9F89006-FC0B-4256-99DF-91FE2392B655}">
            <xm:f>$Z$8='Assessment Details'!$Q$23</xm:f>
            <x14:dxf>
              <border>
                <left style="thin">
                  <color theme="0"/>
                </left>
                <right style="thin">
                  <color theme="0"/>
                </right>
                <top style="thin">
                  <color theme="0"/>
                </top>
                <bottom style="thin">
                  <color theme="0"/>
                </bottom>
                <vertical/>
                <horizontal/>
              </border>
            </x14:dxf>
          </x14:cfRule>
          <xm:sqref>U192:Z192</xm:sqref>
        </x14:conditionalFormatting>
        <x14:conditionalFormatting xmlns:xm="http://schemas.microsoft.com/office/excel/2006/main">
          <x14:cfRule type="expression" priority="286" id="{CFDA2C22-138A-483B-8509-AB534E825605}">
            <xm:f>$S$8='Assessment Details'!$Q$23</xm:f>
            <x14:dxf>
              <font>
                <color theme="0"/>
              </font>
              <fill>
                <patternFill>
                  <bgColor theme="0"/>
                </patternFill>
              </fill>
              <border>
                <vertical/>
                <horizontal/>
              </border>
            </x14:dxf>
          </x14:cfRule>
          <xm:sqref>N211:S211</xm:sqref>
        </x14:conditionalFormatting>
        <x14:conditionalFormatting xmlns:xm="http://schemas.microsoft.com/office/excel/2006/main">
          <x14:cfRule type="expression" priority="285" id="{0B60F656-C5EA-44CE-83A6-B02906BADB7A}">
            <xm:f>$S$8='Assessment Details'!$Q$23</xm:f>
            <x14:dxf>
              <border>
                <left style="thin">
                  <color theme="0"/>
                </left>
                <right style="thin">
                  <color theme="0"/>
                </right>
                <top style="thin">
                  <color theme="0"/>
                </top>
                <bottom style="thin">
                  <color theme="0"/>
                </bottom>
                <vertical/>
                <horizontal/>
              </border>
            </x14:dxf>
          </x14:cfRule>
          <xm:sqref>N211:S211</xm:sqref>
        </x14:conditionalFormatting>
        <x14:conditionalFormatting xmlns:xm="http://schemas.microsoft.com/office/excel/2006/main">
          <x14:cfRule type="expression" priority="288" id="{8DB40213-10E0-4BB8-975A-AF5FE67EBC1E}">
            <xm:f>$Z$8='Assessment Details'!$Q$23</xm:f>
            <x14:dxf>
              <font>
                <color theme="0"/>
              </font>
              <fill>
                <patternFill>
                  <bgColor theme="0"/>
                </patternFill>
              </fill>
            </x14:dxf>
          </x14:cfRule>
          <xm:sqref>U211:Z211</xm:sqref>
        </x14:conditionalFormatting>
        <x14:conditionalFormatting xmlns:xm="http://schemas.microsoft.com/office/excel/2006/main">
          <x14:cfRule type="expression" priority="289" id="{4FA11FC5-2EBF-4443-A1BE-F1DD9B51321A}">
            <xm:f>$Z$8='Assessment Details'!$Q$23</xm:f>
            <x14:dxf>
              <border>
                <left style="thin">
                  <color theme="0"/>
                </left>
                <right style="thin">
                  <color theme="0"/>
                </right>
                <top style="thin">
                  <color theme="0"/>
                </top>
                <bottom style="thin">
                  <color theme="0"/>
                </bottom>
                <vertical/>
                <horizontal/>
              </border>
            </x14:dxf>
          </x14:cfRule>
          <xm:sqref>U211:Z211</xm:sqref>
        </x14:conditionalFormatting>
        <x14:conditionalFormatting xmlns:xm="http://schemas.microsoft.com/office/excel/2006/main">
          <x14:cfRule type="expression" priority="223" id="{B4C9156D-5484-4C85-A329-B50BC81B0CA6}">
            <xm:f>$S$8='Assessment Details'!$Q$23</xm:f>
            <x14:dxf>
              <font>
                <color theme="0"/>
              </font>
              <fill>
                <patternFill>
                  <bgColor theme="0"/>
                </patternFill>
              </fill>
              <border>
                <vertical/>
                <horizontal/>
              </border>
            </x14:dxf>
          </x14:cfRule>
          <xm:sqref>N210:S210</xm:sqref>
        </x14:conditionalFormatting>
        <x14:conditionalFormatting xmlns:xm="http://schemas.microsoft.com/office/excel/2006/main">
          <x14:cfRule type="expression" priority="222" id="{3CCA4A0F-7AEA-4F04-B887-0EED96879A3A}">
            <xm:f>$S$8='Assessment Details'!$Q$23</xm:f>
            <x14:dxf>
              <border>
                <left style="thin">
                  <color theme="0"/>
                </left>
                <right style="thin">
                  <color theme="0"/>
                </right>
                <top style="thin">
                  <color theme="0"/>
                </top>
                <bottom style="thin">
                  <color theme="0"/>
                </bottom>
                <vertical/>
                <horizontal/>
              </border>
            </x14:dxf>
          </x14:cfRule>
          <xm:sqref>N210:S210</xm:sqref>
        </x14:conditionalFormatting>
        <x14:conditionalFormatting xmlns:xm="http://schemas.microsoft.com/office/excel/2006/main">
          <x14:cfRule type="expression" priority="237" id="{703E1FBF-3B26-4E3A-8C8D-EF6DAF2769D1}">
            <xm:f>$Z$8='Assessment Details'!$Q$23</xm:f>
            <x14:dxf>
              <font>
                <color theme="0"/>
              </font>
              <fill>
                <patternFill>
                  <bgColor theme="0"/>
                </patternFill>
              </fill>
            </x14:dxf>
          </x14:cfRule>
          <xm:sqref>U210:Z210</xm:sqref>
        </x14:conditionalFormatting>
        <x14:conditionalFormatting xmlns:xm="http://schemas.microsoft.com/office/excel/2006/main">
          <x14:cfRule type="expression" priority="238" id="{D88F92AB-A965-4BC7-97E8-AF125E66C6FB}">
            <xm:f>$Z$8='Assessment Details'!$Q$23</xm:f>
            <x14:dxf>
              <border>
                <left style="thin">
                  <color theme="0"/>
                </left>
                <right style="thin">
                  <color theme="0"/>
                </right>
                <top style="thin">
                  <color theme="0"/>
                </top>
                <bottom style="thin">
                  <color theme="0"/>
                </bottom>
                <vertical/>
                <horizontal/>
              </border>
            </x14:dxf>
          </x14:cfRule>
          <xm:sqref>U210:Z210</xm:sqref>
        </x14:conditionalFormatting>
        <x14:conditionalFormatting xmlns:xm="http://schemas.microsoft.com/office/excel/2006/main">
          <x14:cfRule type="expression" priority="206" id="{C45035BF-5A91-4958-AE9C-24FEBAB4A100}">
            <xm:f>$S$8='Assessment Details'!$Q$23</xm:f>
            <x14:dxf>
              <font>
                <color theme="0"/>
              </font>
              <fill>
                <patternFill>
                  <bgColor theme="0"/>
                </patternFill>
              </fill>
              <border>
                <vertical/>
                <horizontal/>
              </border>
            </x14:dxf>
          </x14:cfRule>
          <xm:sqref>N209:S209</xm:sqref>
        </x14:conditionalFormatting>
        <x14:conditionalFormatting xmlns:xm="http://schemas.microsoft.com/office/excel/2006/main">
          <x14:cfRule type="expression" priority="205" id="{91867CCB-12BA-46AA-A3BA-FE85BD8D3FFF}">
            <xm:f>$S$8='Assessment Details'!$Q$23</xm:f>
            <x14:dxf>
              <border>
                <left style="thin">
                  <color theme="0"/>
                </left>
                <right style="thin">
                  <color theme="0"/>
                </right>
                <top style="thin">
                  <color theme="0"/>
                </top>
                <bottom style="thin">
                  <color theme="0"/>
                </bottom>
                <vertical/>
                <horizontal/>
              </border>
            </x14:dxf>
          </x14:cfRule>
          <xm:sqref>N209:S209</xm:sqref>
        </x14:conditionalFormatting>
        <x14:conditionalFormatting xmlns:xm="http://schemas.microsoft.com/office/excel/2006/main">
          <x14:cfRule type="expression" priority="204" id="{3EEB2744-C09A-4B21-942E-2E8AFADE296C}">
            <xm:f>$S$8='Assessment Details'!$Q$23</xm:f>
            <x14:dxf>
              <font>
                <color theme="0"/>
              </font>
              <fill>
                <patternFill>
                  <bgColor theme="0"/>
                </patternFill>
              </fill>
              <border>
                <vertical/>
                <horizontal/>
              </border>
            </x14:dxf>
          </x14:cfRule>
          <xm:sqref>G209</xm:sqref>
        </x14:conditionalFormatting>
        <x14:conditionalFormatting xmlns:xm="http://schemas.microsoft.com/office/excel/2006/main">
          <x14:cfRule type="expression" priority="203" id="{9FCDED50-49C0-4E16-9FA5-DE4D7BFDAA9E}">
            <xm:f>$S$8='Assessment Details'!$Q$23</xm:f>
            <x14:dxf>
              <border>
                <left style="thin">
                  <color theme="0"/>
                </left>
                <right style="thin">
                  <color theme="0"/>
                </right>
                <top style="thin">
                  <color theme="0"/>
                </top>
                <bottom style="thin">
                  <color theme="0"/>
                </bottom>
                <vertical/>
                <horizontal/>
              </border>
            </x14:dxf>
          </x14:cfRule>
          <xm:sqref>G209</xm:sqref>
        </x14:conditionalFormatting>
        <x14:conditionalFormatting xmlns:xm="http://schemas.microsoft.com/office/excel/2006/main">
          <x14:cfRule type="expression" priority="202" id="{C76EDFE4-027C-4B51-AA40-A98000EFB61A}">
            <xm:f>$S$8='Assessment Details'!$Q$23</xm:f>
            <x14:dxf>
              <font>
                <color theme="0"/>
              </font>
              <fill>
                <patternFill>
                  <bgColor theme="0"/>
                </patternFill>
              </fill>
              <border>
                <vertical/>
                <horizontal/>
              </border>
            </x14:dxf>
          </x14:cfRule>
          <xm:sqref>U209</xm:sqref>
        </x14:conditionalFormatting>
        <x14:conditionalFormatting xmlns:xm="http://schemas.microsoft.com/office/excel/2006/main">
          <x14:cfRule type="expression" priority="201" id="{2C1A8F4E-C427-4F32-B439-0096900E19B2}">
            <xm:f>$S$8='Assessment Details'!$Q$23</xm:f>
            <x14:dxf>
              <border>
                <left style="thin">
                  <color theme="0"/>
                </left>
                <right style="thin">
                  <color theme="0"/>
                </right>
                <top style="thin">
                  <color theme="0"/>
                </top>
                <bottom style="thin">
                  <color theme="0"/>
                </bottom>
                <vertical/>
                <horizontal/>
              </border>
            </x14:dxf>
          </x14:cfRule>
          <xm:sqref>U209</xm:sqref>
        </x14:conditionalFormatting>
        <x14:conditionalFormatting xmlns:xm="http://schemas.microsoft.com/office/excel/2006/main">
          <x14:cfRule type="expression" priority="200" id="{9821B401-6F4E-41BC-9E66-6179692703F1}">
            <xm:f>$S$8='Assessment Details'!$Q$23</xm:f>
            <x14:dxf>
              <font>
                <color theme="0"/>
              </font>
              <fill>
                <patternFill>
                  <bgColor theme="0"/>
                </patternFill>
              </fill>
              <border>
                <vertical/>
                <horizontal/>
              </border>
            </x14:dxf>
          </x14:cfRule>
          <xm:sqref>W209</xm:sqref>
        </x14:conditionalFormatting>
        <x14:conditionalFormatting xmlns:xm="http://schemas.microsoft.com/office/excel/2006/main">
          <x14:cfRule type="expression" priority="199" id="{A19F9CE4-E873-4015-AF18-A26C21D39185}">
            <xm:f>$S$8='Assessment Details'!$Q$23</xm:f>
            <x14:dxf>
              <border>
                <left style="thin">
                  <color theme="0"/>
                </left>
                <right style="thin">
                  <color theme="0"/>
                </right>
                <top style="thin">
                  <color theme="0"/>
                </top>
                <bottom style="thin">
                  <color theme="0"/>
                </bottom>
                <vertical/>
                <horizontal/>
              </border>
            </x14:dxf>
          </x14:cfRule>
          <xm:sqref>W209</xm:sqref>
        </x14:conditionalFormatting>
        <x14:conditionalFormatting xmlns:xm="http://schemas.microsoft.com/office/excel/2006/main">
          <x14:cfRule type="expression" priority="220" id="{6AE94490-DB72-4C1A-BDB5-1F85B59CCE8C}">
            <xm:f>$Z$8='Assessment Details'!$Q$23</xm:f>
            <x14:dxf>
              <font>
                <color theme="0"/>
              </font>
              <fill>
                <patternFill>
                  <bgColor theme="0"/>
                </patternFill>
              </fill>
            </x14:dxf>
          </x14:cfRule>
          <xm:sqref>U209:Z209</xm:sqref>
        </x14:conditionalFormatting>
        <x14:conditionalFormatting xmlns:xm="http://schemas.microsoft.com/office/excel/2006/main">
          <x14:cfRule type="expression" priority="221" id="{242E11D8-17FB-4ADC-9E13-5E1A900AFD0A}">
            <xm:f>$Z$8='Assessment Details'!$Q$23</xm:f>
            <x14:dxf>
              <border>
                <left style="thin">
                  <color theme="0"/>
                </left>
                <right style="thin">
                  <color theme="0"/>
                </right>
                <top style="thin">
                  <color theme="0"/>
                </top>
                <bottom style="thin">
                  <color theme="0"/>
                </bottom>
                <vertical/>
                <horizontal/>
              </border>
            </x14:dxf>
          </x14:cfRule>
          <xm:sqref>U209:Z209</xm:sqref>
        </x14:conditionalFormatting>
        <x14:conditionalFormatting xmlns:xm="http://schemas.microsoft.com/office/excel/2006/main">
          <x14:cfRule type="expression" priority="183" id="{18C17D5F-FF52-4287-B3D6-A093652692AB}">
            <xm:f>$S$8='Assessment Details'!$Q$23</xm:f>
            <x14:dxf>
              <font>
                <color theme="0"/>
              </font>
              <fill>
                <patternFill>
                  <bgColor theme="0"/>
                </patternFill>
              </fill>
              <border>
                <vertical/>
                <horizontal/>
              </border>
            </x14:dxf>
          </x14:cfRule>
          <xm:sqref>N226:S226</xm:sqref>
        </x14:conditionalFormatting>
        <x14:conditionalFormatting xmlns:xm="http://schemas.microsoft.com/office/excel/2006/main">
          <x14:cfRule type="expression" priority="182" id="{5FFEFA1A-7C4A-4F4E-941D-8B78E972BCF0}">
            <xm:f>$S$8='Assessment Details'!$Q$23</xm:f>
            <x14:dxf>
              <border>
                <left style="thin">
                  <color theme="0"/>
                </left>
                <right style="thin">
                  <color theme="0"/>
                </right>
                <top style="thin">
                  <color theme="0"/>
                </top>
                <bottom style="thin">
                  <color theme="0"/>
                </bottom>
                <vertical/>
                <horizontal/>
              </border>
            </x14:dxf>
          </x14:cfRule>
          <xm:sqref>N226:S226</xm:sqref>
        </x14:conditionalFormatting>
        <x14:conditionalFormatting xmlns:xm="http://schemas.microsoft.com/office/excel/2006/main">
          <x14:cfRule type="expression" priority="181" id="{E345E5F1-5990-47E9-9094-B1CBC3834D9D}">
            <xm:f>$S$8='Assessment Details'!$Q$23</xm:f>
            <x14:dxf>
              <font>
                <color theme="0"/>
              </font>
              <fill>
                <patternFill>
                  <bgColor theme="0"/>
                </patternFill>
              </fill>
              <border>
                <vertical/>
                <horizontal/>
              </border>
            </x14:dxf>
          </x14:cfRule>
          <xm:sqref>G226</xm:sqref>
        </x14:conditionalFormatting>
        <x14:conditionalFormatting xmlns:xm="http://schemas.microsoft.com/office/excel/2006/main">
          <x14:cfRule type="expression" priority="180" id="{C0C8BA82-EC28-421A-8056-5C2BF2356772}">
            <xm:f>$S$8='Assessment Details'!$Q$23</xm:f>
            <x14:dxf>
              <border>
                <left style="thin">
                  <color theme="0"/>
                </left>
                <right style="thin">
                  <color theme="0"/>
                </right>
                <top style="thin">
                  <color theme="0"/>
                </top>
                <bottom style="thin">
                  <color theme="0"/>
                </bottom>
                <vertical/>
                <horizontal/>
              </border>
            </x14:dxf>
          </x14:cfRule>
          <xm:sqref>G226</xm:sqref>
        </x14:conditionalFormatting>
        <x14:conditionalFormatting xmlns:xm="http://schemas.microsoft.com/office/excel/2006/main">
          <x14:cfRule type="expression" priority="179" id="{F56C039B-D71B-4643-8343-CFB7E58C594E}">
            <xm:f>$S$8='Assessment Details'!$Q$23</xm:f>
            <x14:dxf>
              <font>
                <color theme="0"/>
              </font>
              <fill>
                <patternFill>
                  <bgColor theme="0"/>
                </patternFill>
              </fill>
              <border>
                <vertical/>
                <horizontal/>
              </border>
            </x14:dxf>
          </x14:cfRule>
          <xm:sqref>U226</xm:sqref>
        </x14:conditionalFormatting>
        <x14:conditionalFormatting xmlns:xm="http://schemas.microsoft.com/office/excel/2006/main">
          <x14:cfRule type="expression" priority="178" id="{C647A0D1-E5B7-4612-B088-B17331BD2DDA}">
            <xm:f>$S$8='Assessment Details'!$Q$23</xm:f>
            <x14:dxf>
              <border>
                <left style="thin">
                  <color theme="0"/>
                </left>
                <right style="thin">
                  <color theme="0"/>
                </right>
                <top style="thin">
                  <color theme="0"/>
                </top>
                <bottom style="thin">
                  <color theme="0"/>
                </bottom>
                <vertical/>
                <horizontal/>
              </border>
            </x14:dxf>
          </x14:cfRule>
          <xm:sqref>U226</xm:sqref>
        </x14:conditionalFormatting>
        <x14:conditionalFormatting xmlns:xm="http://schemas.microsoft.com/office/excel/2006/main">
          <x14:cfRule type="expression" priority="177" id="{532D191F-20C9-4562-84C9-B215C7AAC46D}">
            <xm:f>$S$8='Assessment Details'!$Q$23</xm:f>
            <x14:dxf>
              <font>
                <color theme="0"/>
              </font>
              <fill>
                <patternFill>
                  <bgColor theme="0"/>
                </patternFill>
              </fill>
              <border>
                <vertical/>
                <horizontal/>
              </border>
            </x14:dxf>
          </x14:cfRule>
          <xm:sqref>W226</xm:sqref>
        </x14:conditionalFormatting>
        <x14:conditionalFormatting xmlns:xm="http://schemas.microsoft.com/office/excel/2006/main">
          <x14:cfRule type="expression" priority="176" id="{61E96BA4-C5A4-4BD5-9314-CBA069311D17}">
            <xm:f>$S$8='Assessment Details'!$Q$23</xm:f>
            <x14:dxf>
              <border>
                <left style="thin">
                  <color theme="0"/>
                </left>
                <right style="thin">
                  <color theme="0"/>
                </right>
                <top style="thin">
                  <color theme="0"/>
                </top>
                <bottom style="thin">
                  <color theme="0"/>
                </bottom>
                <vertical/>
                <horizontal/>
              </border>
            </x14:dxf>
          </x14:cfRule>
          <xm:sqref>W226</xm:sqref>
        </x14:conditionalFormatting>
        <x14:conditionalFormatting xmlns:xm="http://schemas.microsoft.com/office/excel/2006/main">
          <x14:cfRule type="expression" priority="197" id="{88E3CCDA-6851-41A4-A36B-FA6D410CC159}">
            <xm:f>$Z$8='Assessment Details'!$Q$23</xm:f>
            <x14:dxf>
              <font>
                <color theme="0"/>
              </font>
              <fill>
                <patternFill>
                  <bgColor theme="0"/>
                </patternFill>
              </fill>
            </x14:dxf>
          </x14:cfRule>
          <xm:sqref>U226:Z226</xm:sqref>
        </x14:conditionalFormatting>
        <x14:conditionalFormatting xmlns:xm="http://schemas.microsoft.com/office/excel/2006/main">
          <x14:cfRule type="expression" priority="198" id="{ACEA0EB4-80FF-4A37-B49A-5696F3E0E508}">
            <xm:f>$Z$8='Assessment Details'!$Q$23</xm:f>
            <x14:dxf>
              <border>
                <left style="thin">
                  <color theme="0"/>
                </left>
                <right style="thin">
                  <color theme="0"/>
                </right>
                <top style="thin">
                  <color theme="0"/>
                </top>
                <bottom style="thin">
                  <color theme="0"/>
                </bottom>
                <vertical/>
                <horizontal/>
              </border>
            </x14:dxf>
          </x14:cfRule>
          <xm:sqref>U226:Z226</xm:sqref>
        </x14:conditionalFormatting>
        <x14:conditionalFormatting xmlns:xm="http://schemas.microsoft.com/office/excel/2006/main">
          <x14:cfRule type="expression" priority="160" id="{61E5B49C-C46C-4760-8775-D17375A6EA64}">
            <xm:f>$S$8='Assessment Details'!$Q$23</xm:f>
            <x14:dxf>
              <font>
                <color theme="0"/>
              </font>
              <fill>
                <patternFill>
                  <bgColor theme="0"/>
                </patternFill>
              </fill>
              <border>
                <vertical/>
                <horizontal/>
              </border>
            </x14:dxf>
          </x14:cfRule>
          <xm:sqref>N71:S71</xm:sqref>
        </x14:conditionalFormatting>
        <x14:conditionalFormatting xmlns:xm="http://schemas.microsoft.com/office/excel/2006/main">
          <x14:cfRule type="expression" priority="159" id="{810E491B-9AFD-4625-8A42-75C5974430CC}">
            <xm:f>$S$8='Assessment Details'!$Q$23</xm:f>
            <x14:dxf>
              <border>
                <left style="thin">
                  <color theme="0"/>
                </left>
                <right style="thin">
                  <color theme="0"/>
                </right>
                <top style="thin">
                  <color theme="0"/>
                </top>
                <bottom style="thin">
                  <color theme="0"/>
                </bottom>
                <vertical/>
                <horizontal/>
              </border>
            </x14:dxf>
          </x14:cfRule>
          <xm:sqref>N71:S71</xm:sqref>
        </x14:conditionalFormatting>
        <x14:conditionalFormatting xmlns:xm="http://schemas.microsoft.com/office/excel/2006/main">
          <x14:cfRule type="expression" priority="158" id="{5B0F2C05-53AF-48BB-9D2E-E6F641488715}">
            <xm:f>$S$8='Assessment Details'!$Q$23</xm:f>
            <x14:dxf>
              <font>
                <color theme="0"/>
              </font>
              <fill>
                <patternFill>
                  <bgColor theme="0"/>
                </patternFill>
              </fill>
              <border>
                <vertical/>
                <horizontal/>
              </border>
            </x14:dxf>
          </x14:cfRule>
          <xm:sqref>G71</xm:sqref>
        </x14:conditionalFormatting>
        <x14:conditionalFormatting xmlns:xm="http://schemas.microsoft.com/office/excel/2006/main">
          <x14:cfRule type="expression" priority="157" id="{C1694F0A-0CC1-4742-8E15-EEE575936C27}">
            <xm:f>$S$8='Assessment Details'!$Q$23</xm:f>
            <x14:dxf>
              <border>
                <left style="thin">
                  <color theme="0"/>
                </left>
                <right style="thin">
                  <color theme="0"/>
                </right>
                <top style="thin">
                  <color theme="0"/>
                </top>
                <bottom style="thin">
                  <color theme="0"/>
                </bottom>
                <vertical/>
                <horizontal/>
              </border>
            </x14:dxf>
          </x14:cfRule>
          <xm:sqref>G71</xm:sqref>
        </x14:conditionalFormatting>
        <x14:conditionalFormatting xmlns:xm="http://schemas.microsoft.com/office/excel/2006/main">
          <x14:cfRule type="expression" priority="156" id="{02F370AE-CBFD-4FEB-9312-E8C5A92CFC2D}">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155" id="{EFC855BF-B4F0-4B7D-A024-24715073EEDB}">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150" id="{D93F5BD6-5BC2-4F57-9A8A-0E7FA7B1454F}">
            <xm:f>$S$8='Assessment Details'!$Q$23</xm:f>
            <x14:dxf>
              <font>
                <color theme="0"/>
              </font>
              <fill>
                <patternFill>
                  <bgColor theme="0"/>
                </patternFill>
              </fill>
              <border>
                <vertical/>
                <horizontal/>
              </border>
            </x14:dxf>
          </x14:cfRule>
          <xm:sqref>N71</xm:sqref>
        </x14:conditionalFormatting>
        <x14:conditionalFormatting xmlns:xm="http://schemas.microsoft.com/office/excel/2006/main">
          <x14:cfRule type="expression" priority="149" id="{98AFAECC-EFCA-441C-BBD5-D37816746FD2}">
            <xm:f>$S$8='Assessment Details'!$Q$23</xm:f>
            <x14:dxf>
              <border>
                <left style="thin">
                  <color theme="0"/>
                </left>
                <right style="thin">
                  <color theme="0"/>
                </right>
                <top style="thin">
                  <color theme="0"/>
                </top>
                <bottom style="thin">
                  <color theme="0"/>
                </bottom>
                <vertical/>
                <horizontal/>
              </border>
            </x14:dxf>
          </x14:cfRule>
          <xm:sqref>N71</xm:sqref>
        </x14:conditionalFormatting>
        <x14:conditionalFormatting xmlns:xm="http://schemas.microsoft.com/office/excel/2006/main">
          <x14:cfRule type="expression" priority="144" id="{868D452A-ED94-400D-A800-C21137A74F90}">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143" id="{8809E55D-95BE-49EB-AA0B-AB6AD3A6F62A}">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142" id="{B5218ADE-A98F-4552-9954-EA67E83613FD}">
            <xm:f>$S$8='Assessment Details'!$Q$23</xm:f>
            <x14:dxf>
              <font>
                <color theme="0"/>
              </font>
              <fill>
                <patternFill>
                  <bgColor theme="0"/>
                </patternFill>
              </fill>
              <border>
                <vertical/>
                <horizontal/>
              </border>
            </x14:dxf>
          </x14:cfRule>
          <xm:sqref>W71</xm:sqref>
        </x14:conditionalFormatting>
        <x14:conditionalFormatting xmlns:xm="http://schemas.microsoft.com/office/excel/2006/main">
          <x14:cfRule type="expression" priority="141" id="{9FEFE862-D675-46E4-A129-73376942EEBA}">
            <xm:f>$S$8='Assessment Details'!$Q$23</xm:f>
            <x14:dxf>
              <border>
                <left style="thin">
                  <color theme="0"/>
                </left>
                <right style="thin">
                  <color theme="0"/>
                </right>
                <top style="thin">
                  <color theme="0"/>
                </top>
                <bottom style="thin">
                  <color theme="0"/>
                </bottom>
                <vertical/>
                <horizontal/>
              </border>
            </x14:dxf>
          </x14:cfRule>
          <xm:sqref>W71</xm:sqref>
        </x14:conditionalFormatting>
        <x14:conditionalFormatting xmlns:xm="http://schemas.microsoft.com/office/excel/2006/main">
          <x14:cfRule type="expression" priority="174" id="{68BA5C6D-93A4-482B-B2DC-A71E804CCA45}">
            <xm:f>$Z$8='Assessment Details'!$Q$23</xm:f>
            <x14:dxf>
              <font>
                <color theme="0"/>
              </font>
              <fill>
                <patternFill>
                  <bgColor theme="0"/>
                </patternFill>
              </fill>
            </x14:dxf>
          </x14:cfRule>
          <xm:sqref>U71:Z71</xm:sqref>
        </x14:conditionalFormatting>
        <x14:conditionalFormatting xmlns:xm="http://schemas.microsoft.com/office/excel/2006/main">
          <x14:cfRule type="expression" priority="175" id="{691F0192-A9D9-45B0-9594-40F8E75AB3A5}">
            <xm:f>$Z$8='Assessment Details'!$Q$23</xm:f>
            <x14:dxf>
              <border>
                <left style="thin">
                  <color theme="0"/>
                </left>
                <right style="thin">
                  <color theme="0"/>
                </right>
                <top style="thin">
                  <color theme="0"/>
                </top>
                <bottom style="thin">
                  <color theme="0"/>
                </bottom>
                <vertical/>
                <horizontal/>
              </border>
            </x14:dxf>
          </x14:cfRule>
          <xm:sqref>U71:Z71</xm:sqref>
        </x14:conditionalFormatting>
        <x14:conditionalFormatting xmlns:xm="http://schemas.microsoft.com/office/excel/2006/main">
          <x14:cfRule type="expression" priority="131" id="{A2F61281-5B85-42E8-85ED-C883449C3341}">
            <xm:f>$S$8='Assessment Details'!$Q$23</xm:f>
            <x14:dxf>
              <font>
                <color theme="0"/>
              </font>
              <fill>
                <patternFill>
                  <bgColor theme="0"/>
                </patternFill>
              </fill>
              <border>
                <vertical/>
                <horizontal/>
              </border>
            </x14:dxf>
          </x14:cfRule>
          <xm:sqref>AB40</xm:sqref>
        </x14:conditionalFormatting>
        <x14:conditionalFormatting xmlns:xm="http://schemas.microsoft.com/office/excel/2006/main">
          <x14:cfRule type="expression" priority="130" id="{12B22900-DA56-4FFF-A64C-67EEE6F95F35}">
            <xm:f>$S$8='Assessment Details'!$Q$23</xm:f>
            <x14:dxf>
              <border>
                <left style="thin">
                  <color theme="0"/>
                </left>
                <right style="thin">
                  <color theme="0"/>
                </right>
                <top style="thin">
                  <color theme="0"/>
                </top>
                <bottom style="thin">
                  <color theme="0"/>
                </bottom>
                <vertical/>
                <horizontal/>
              </border>
            </x14:dxf>
          </x14:cfRule>
          <xm:sqref>AB40</xm:sqref>
        </x14:conditionalFormatting>
        <x14:conditionalFormatting xmlns:xm="http://schemas.microsoft.com/office/excel/2006/main">
          <x14:cfRule type="expression" priority="129" id="{CE1CBBD9-B568-4E28-9031-CA6598413DFA}">
            <xm:f>'Pre-Assessment Estimator'!$AJ$4=ais_nei</xm:f>
            <x14:dxf>
              <font>
                <color theme="0"/>
              </font>
              <fill>
                <patternFill>
                  <bgColor theme="0"/>
                </patternFill>
              </fill>
              <border>
                <left/>
                <right/>
                <top/>
                <bottom/>
                <vertical/>
                <horizontal/>
              </border>
            </x14:dxf>
          </x14:cfRule>
          <xm:sqref>AB40</xm:sqref>
        </x14:conditionalFormatting>
        <x14:conditionalFormatting xmlns:xm="http://schemas.microsoft.com/office/excel/2006/main">
          <x14:cfRule type="expression" priority="133" id="{2CE3F685-768F-48E9-BCE1-5113391D8698}">
            <xm:f>$Z$8='Assessment Details'!$Q$23</xm:f>
            <x14:dxf>
              <font>
                <color theme="0"/>
              </font>
              <fill>
                <patternFill>
                  <bgColor theme="0"/>
                </patternFill>
              </fill>
            </x14:dxf>
          </x14:cfRule>
          <xm:sqref>AA40</xm:sqref>
        </x14:conditionalFormatting>
        <x14:conditionalFormatting xmlns:xm="http://schemas.microsoft.com/office/excel/2006/main">
          <x14:cfRule type="expression" priority="134" id="{C73A93A1-430B-4852-895E-2ABF25A4C2F2}">
            <xm:f>$Z$8='Assessment Details'!$Q$23</xm:f>
            <x14:dxf>
              <border>
                <left style="thin">
                  <color theme="0"/>
                </left>
                <right style="thin">
                  <color theme="0"/>
                </right>
                <top style="thin">
                  <color theme="0"/>
                </top>
                <bottom style="thin">
                  <color theme="0"/>
                </bottom>
                <vertical/>
                <horizontal/>
              </border>
            </x14:dxf>
          </x14:cfRule>
          <xm:sqref>AA40</xm:sqref>
        </x14:conditionalFormatting>
        <x14:conditionalFormatting xmlns:xm="http://schemas.microsoft.com/office/excel/2006/main">
          <x14:cfRule type="expression" priority="113" id="{8C3949D9-EB23-440A-BD64-E991ECCD39A7}">
            <xm:f>$S$8='Assessment Details'!$Q$23</xm:f>
            <x14:dxf>
              <font>
                <color theme="0"/>
              </font>
              <fill>
                <patternFill>
                  <bgColor theme="0"/>
                </patternFill>
              </fill>
              <border>
                <vertical/>
                <horizontal/>
              </border>
            </x14:dxf>
          </x14:cfRule>
          <xm:sqref>N40:S40</xm:sqref>
        </x14:conditionalFormatting>
        <x14:conditionalFormatting xmlns:xm="http://schemas.microsoft.com/office/excel/2006/main">
          <x14:cfRule type="expression" priority="112" id="{419C5763-FB56-4025-93E6-A4D10B052749}">
            <xm:f>$S$8='Assessment Details'!$Q$23</xm:f>
            <x14:dxf>
              <border>
                <left style="thin">
                  <color theme="0"/>
                </left>
                <right style="thin">
                  <color theme="0"/>
                </right>
                <top style="thin">
                  <color theme="0"/>
                </top>
                <bottom style="thin">
                  <color theme="0"/>
                </bottom>
                <vertical/>
                <horizontal/>
              </border>
            </x14:dxf>
          </x14:cfRule>
          <xm:sqref>N40:S40</xm:sqref>
        </x14:conditionalFormatting>
        <x14:conditionalFormatting xmlns:xm="http://schemas.microsoft.com/office/excel/2006/main">
          <x14:cfRule type="expression" priority="111" id="{54818CE5-9AE7-42E4-84CF-C5EBE921D49C}">
            <xm:f>$S$8='Assessment Details'!$Q$23</xm:f>
            <x14:dxf>
              <font>
                <color theme="0"/>
              </font>
              <fill>
                <patternFill>
                  <bgColor theme="0"/>
                </patternFill>
              </fill>
              <border>
                <vertical/>
                <horizontal/>
              </border>
            </x14:dxf>
          </x14:cfRule>
          <xm:sqref>G40</xm:sqref>
        </x14:conditionalFormatting>
        <x14:conditionalFormatting xmlns:xm="http://schemas.microsoft.com/office/excel/2006/main">
          <x14:cfRule type="expression" priority="110" id="{AE843E95-EC7F-48D1-A962-E7BD7FF814A7}">
            <xm:f>$S$8='Assessment Details'!$Q$23</xm:f>
            <x14:dxf>
              <border>
                <left style="thin">
                  <color theme="0"/>
                </left>
                <right style="thin">
                  <color theme="0"/>
                </right>
                <top style="thin">
                  <color theme="0"/>
                </top>
                <bottom style="thin">
                  <color theme="0"/>
                </bottom>
                <vertical/>
                <horizontal/>
              </border>
            </x14:dxf>
          </x14:cfRule>
          <xm:sqref>G40</xm:sqref>
        </x14:conditionalFormatting>
        <x14:conditionalFormatting xmlns:xm="http://schemas.microsoft.com/office/excel/2006/main">
          <x14:cfRule type="expression" priority="109" id="{8CB11A7C-3ABF-477E-A02E-F4AC3284107D}">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108" id="{C9FA926E-FFF2-4933-98AB-E4B10933A14D}">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103" id="{B4E0B131-4A0F-467D-84FC-AFE2986E1AD7}">
            <xm:f>$S$8='Assessment Details'!$Q$23</xm:f>
            <x14:dxf>
              <font>
                <color theme="0"/>
              </font>
              <fill>
                <patternFill>
                  <bgColor theme="0"/>
                </patternFill>
              </fill>
              <border>
                <vertical/>
                <horizontal/>
              </border>
            </x14:dxf>
          </x14:cfRule>
          <xm:sqref>N40</xm:sqref>
        </x14:conditionalFormatting>
        <x14:conditionalFormatting xmlns:xm="http://schemas.microsoft.com/office/excel/2006/main">
          <x14:cfRule type="expression" priority="102" id="{D2A937F4-6AD8-4A61-BA35-A3C401979D0C}">
            <xm:f>$S$8='Assessment Details'!$Q$23</xm:f>
            <x14:dxf>
              <border>
                <left style="thin">
                  <color theme="0"/>
                </left>
                <right style="thin">
                  <color theme="0"/>
                </right>
                <top style="thin">
                  <color theme="0"/>
                </top>
                <bottom style="thin">
                  <color theme="0"/>
                </bottom>
                <vertical/>
                <horizontal/>
              </border>
            </x14:dxf>
          </x14:cfRule>
          <xm:sqref>N40</xm:sqref>
        </x14:conditionalFormatting>
        <x14:conditionalFormatting xmlns:xm="http://schemas.microsoft.com/office/excel/2006/main">
          <x14:cfRule type="expression" priority="97" id="{EAD5FDD4-AB6C-47B5-B37A-19F24BF3D229}">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96" id="{1B1C70F0-1B2A-47E8-B0B9-500FC7BDA48B}">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95" id="{AAEA2C86-2AF2-4AFF-B26D-4E71C44468DB}">
            <xm:f>$S$8='Assessment Details'!$Q$23</xm:f>
            <x14:dxf>
              <font>
                <color theme="0"/>
              </font>
              <fill>
                <patternFill>
                  <bgColor theme="0"/>
                </patternFill>
              </fill>
              <border>
                <vertical/>
                <horizontal/>
              </border>
            </x14:dxf>
          </x14:cfRule>
          <xm:sqref>W40</xm:sqref>
        </x14:conditionalFormatting>
        <x14:conditionalFormatting xmlns:xm="http://schemas.microsoft.com/office/excel/2006/main">
          <x14:cfRule type="expression" priority="94" id="{F8A63127-C0F7-442D-948A-6A52989DF2C2}">
            <xm:f>$S$8='Assessment Details'!$Q$23</xm:f>
            <x14:dxf>
              <border>
                <left style="thin">
                  <color theme="0"/>
                </left>
                <right style="thin">
                  <color theme="0"/>
                </right>
                <top style="thin">
                  <color theme="0"/>
                </top>
                <bottom style="thin">
                  <color theme="0"/>
                </bottom>
                <vertical/>
                <horizontal/>
              </border>
            </x14:dxf>
          </x14:cfRule>
          <xm:sqref>W40</xm:sqref>
        </x14:conditionalFormatting>
        <x14:conditionalFormatting xmlns:xm="http://schemas.microsoft.com/office/excel/2006/main">
          <x14:cfRule type="expression" priority="127" id="{00CF1547-2DD6-479C-8D3D-CD630F796C9A}">
            <xm:f>$Z$8='Assessment Details'!$Q$23</xm:f>
            <x14:dxf>
              <font>
                <color theme="0"/>
              </font>
              <fill>
                <patternFill>
                  <bgColor theme="0"/>
                </patternFill>
              </fill>
            </x14:dxf>
          </x14:cfRule>
          <xm:sqref>U40:Z40</xm:sqref>
        </x14:conditionalFormatting>
        <x14:conditionalFormatting xmlns:xm="http://schemas.microsoft.com/office/excel/2006/main">
          <x14:cfRule type="expression" priority="128" id="{F4C47752-AA0B-49C8-8769-54F6FB5C8C05}">
            <xm:f>$Z$8='Assessment Details'!$Q$23</xm:f>
            <x14:dxf>
              <border>
                <left style="thin">
                  <color theme="0"/>
                </left>
                <right style="thin">
                  <color theme="0"/>
                </right>
                <top style="thin">
                  <color theme="0"/>
                </top>
                <bottom style="thin">
                  <color theme="0"/>
                </bottom>
                <vertical/>
                <horizontal/>
              </border>
            </x14:dxf>
          </x14:cfRule>
          <xm:sqref>U40:Z40</xm:sqref>
        </x14:conditionalFormatting>
        <x14:conditionalFormatting xmlns:xm="http://schemas.microsoft.com/office/excel/2006/main">
          <x14:cfRule type="expression" priority="66" id="{0A4A4FFA-B6E7-4655-B23C-D4BC795B58AE}">
            <xm:f>$S$8='Assessment Details'!$Q$23</xm:f>
            <x14:dxf>
              <font>
                <color theme="0"/>
              </font>
              <fill>
                <patternFill>
                  <bgColor theme="0"/>
                </patternFill>
              </fill>
              <border>
                <vertical/>
                <horizontal/>
              </border>
            </x14:dxf>
          </x14:cfRule>
          <xm:sqref>AB172</xm:sqref>
        </x14:conditionalFormatting>
        <x14:conditionalFormatting xmlns:xm="http://schemas.microsoft.com/office/excel/2006/main">
          <x14:cfRule type="expression" priority="65" id="{FAF30279-D158-43F7-8037-D07C714ABA67}">
            <xm:f>$S$8='Assessment Details'!$Q$23</xm:f>
            <x14:dxf>
              <border>
                <left style="thin">
                  <color theme="0"/>
                </left>
                <right style="thin">
                  <color theme="0"/>
                </right>
                <top style="thin">
                  <color theme="0"/>
                </top>
                <bottom style="thin">
                  <color theme="0"/>
                </bottom>
                <vertical/>
                <horizontal/>
              </border>
            </x14:dxf>
          </x14:cfRule>
          <xm:sqref>AB172</xm:sqref>
        </x14:conditionalFormatting>
        <x14:conditionalFormatting xmlns:xm="http://schemas.microsoft.com/office/excel/2006/main">
          <x14:cfRule type="expression" priority="64" id="{A2748B9E-4FE0-487B-B23D-B01C0BEC469F}">
            <xm:f>'Pre-Assessment Estimator'!$AJ$4=ais_nei</xm:f>
            <x14:dxf>
              <font>
                <color theme="0"/>
              </font>
              <fill>
                <patternFill>
                  <bgColor theme="0"/>
                </patternFill>
              </fill>
              <border>
                <left/>
                <right/>
                <top/>
                <bottom/>
                <vertical/>
                <horizontal/>
              </border>
            </x14:dxf>
          </x14:cfRule>
          <xm:sqref>AB172</xm:sqref>
        </x14:conditionalFormatting>
        <x14:conditionalFormatting xmlns:xm="http://schemas.microsoft.com/office/excel/2006/main">
          <x14:cfRule type="expression" priority="68" id="{29C7582A-8C87-428C-A681-BD0D44554119}">
            <xm:f>$Z$8='Assessment Details'!$Q$23</xm:f>
            <x14:dxf>
              <font>
                <color theme="0"/>
              </font>
              <fill>
                <patternFill>
                  <bgColor theme="0"/>
                </patternFill>
              </fill>
            </x14:dxf>
          </x14:cfRule>
          <xm:sqref>AA172</xm:sqref>
        </x14:conditionalFormatting>
        <x14:conditionalFormatting xmlns:xm="http://schemas.microsoft.com/office/excel/2006/main">
          <x14:cfRule type="expression" priority="69" id="{CB0A1344-197D-4BF1-B5B0-A328FFC197FF}">
            <xm:f>$Z$8='Assessment Details'!$Q$23</xm:f>
            <x14:dxf>
              <border>
                <left style="thin">
                  <color theme="0"/>
                </left>
                <right style="thin">
                  <color theme="0"/>
                </right>
                <top style="thin">
                  <color theme="0"/>
                </top>
                <bottom style="thin">
                  <color theme="0"/>
                </bottom>
                <vertical/>
                <horizontal/>
              </border>
            </x14:dxf>
          </x14:cfRule>
          <xm:sqref>AA172</xm:sqref>
        </x14:conditionalFormatting>
        <x14:conditionalFormatting xmlns:xm="http://schemas.microsoft.com/office/excel/2006/main">
          <x14:cfRule type="expression" priority="60" id="{6644C233-EBF9-465D-977E-78690F6AA5F9}">
            <xm:f>$S$8='Assessment Details'!$Q$23</xm:f>
            <x14:dxf>
              <font>
                <color theme="0"/>
              </font>
              <fill>
                <patternFill>
                  <bgColor theme="0"/>
                </patternFill>
              </fill>
              <border>
                <vertical/>
                <horizontal/>
              </border>
            </x14:dxf>
          </x14:cfRule>
          <xm:sqref>N172:S172</xm:sqref>
        </x14:conditionalFormatting>
        <x14:conditionalFormatting xmlns:xm="http://schemas.microsoft.com/office/excel/2006/main">
          <x14:cfRule type="expression" priority="59" id="{CBBBCB6E-020B-4A1E-AECA-0E5E004EA2C6}">
            <xm:f>$S$8='Assessment Details'!$Q$23</xm:f>
            <x14:dxf>
              <border>
                <left style="thin">
                  <color theme="0"/>
                </left>
                <right style="thin">
                  <color theme="0"/>
                </right>
                <top style="thin">
                  <color theme="0"/>
                </top>
                <bottom style="thin">
                  <color theme="0"/>
                </bottom>
                <vertical/>
                <horizontal/>
              </border>
            </x14:dxf>
          </x14:cfRule>
          <xm:sqref>N172:S172</xm:sqref>
        </x14:conditionalFormatting>
        <x14:conditionalFormatting xmlns:xm="http://schemas.microsoft.com/office/excel/2006/main">
          <x14:cfRule type="expression" priority="58" id="{55253052-C297-4F8C-A3EC-9B943F5F6B38}">
            <xm:f>$S$8='Assessment Details'!$Q$23</xm:f>
            <x14:dxf>
              <font>
                <color theme="0"/>
              </font>
              <fill>
                <patternFill>
                  <bgColor theme="0"/>
                </patternFill>
              </fill>
              <border>
                <vertical/>
                <horizontal/>
              </border>
            </x14:dxf>
          </x14:cfRule>
          <xm:sqref>G172</xm:sqref>
        </x14:conditionalFormatting>
        <x14:conditionalFormatting xmlns:xm="http://schemas.microsoft.com/office/excel/2006/main">
          <x14:cfRule type="expression" priority="57" id="{BD96B0C5-25AF-424F-A1BA-4CE9F3FCCC31}">
            <xm:f>$S$8='Assessment Details'!$Q$23</xm:f>
            <x14:dxf>
              <border>
                <left style="thin">
                  <color theme="0"/>
                </left>
                <right style="thin">
                  <color theme="0"/>
                </right>
                <top style="thin">
                  <color theme="0"/>
                </top>
                <bottom style="thin">
                  <color theme="0"/>
                </bottom>
                <vertical/>
                <horizontal/>
              </border>
            </x14:dxf>
          </x14:cfRule>
          <xm:sqref>G172</xm:sqref>
        </x14:conditionalFormatting>
        <x14:conditionalFormatting xmlns:xm="http://schemas.microsoft.com/office/excel/2006/main">
          <x14:cfRule type="expression" priority="56" id="{3A1F9D1B-111B-46CB-8476-D2B766D38747}">
            <xm:f>$S$8='Assessment Details'!$Q$23</xm:f>
            <x14:dxf>
              <font>
                <color theme="0"/>
              </font>
              <fill>
                <patternFill>
                  <bgColor theme="0"/>
                </patternFill>
              </fill>
              <border>
                <vertical/>
                <horizontal/>
              </border>
            </x14:dxf>
          </x14:cfRule>
          <xm:sqref>U172</xm:sqref>
        </x14:conditionalFormatting>
        <x14:conditionalFormatting xmlns:xm="http://schemas.microsoft.com/office/excel/2006/main">
          <x14:cfRule type="expression" priority="55" id="{4505367E-FF2A-4689-A386-E39DC01A6A2E}">
            <xm:f>$S$8='Assessment Details'!$Q$23</xm:f>
            <x14:dxf>
              <border>
                <left style="thin">
                  <color theme="0"/>
                </left>
                <right style="thin">
                  <color theme="0"/>
                </right>
                <top style="thin">
                  <color theme="0"/>
                </top>
                <bottom style="thin">
                  <color theme="0"/>
                </bottom>
                <vertical/>
                <horizontal/>
              </border>
            </x14:dxf>
          </x14:cfRule>
          <xm:sqref>U172</xm:sqref>
        </x14:conditionalFormatting>
        <x14:conditionalFormatting xmlns:xm="http://schemas.microsoft.com/office/excel/2006/main">
          <x14:cfRule type="expression" priority="54" id="{5E6EE673-8DF7-44AB-91D5-694F4E5BF908}">
            <xm:f>$S$8='Assessment Details'!$Q$23</xm:f>
            <x14:dxf>
              <font>
                <color theme="0"/>
              </font>
              <fill>
                <patternFill>
                  <bgColor theme="0"/>
                </patternFill>
              </fill>
              <border>
                <vertical/>
                <horizontal/>
              </border>
            </x14:dxf>
          </x14:cfRule>
          <xm:sqref>N172</xm:sqref>
        </x14:conditionalFormatting>
        <x14:conditionalFormatting xmlns:xm="http://schemas.microsoft.com/office/excel/2006/main">
          <x14:cfRule type="expression" priority="53" id="{8A169D88-CC9C-4464-ADEA-16DC9C366B8E}">
            <xm:f>$S$8='Assessment Details'!$Q$23</xm:f>
            <x14:dxf>
              <border>
                <left style="thin">
                  <color theme="0"/>
                </left>
                <right style="thin">
                  <color theme="0"/>
                </right>
                <top style="thin">
                  <color theme="0"/>
                </top>
                <bottom style="thin">
                  <color theme="0"/>
                </bottom>
                <vertical/>
                <horizontal/>
              </border>
            </x14:dxf>
          </x14:cfRule>
          <xm:sqref>N172</xm:sqref>
        </x14:conditionalFormatting>
        <x14:conditionalFormatting xmlns:xm="http://schemas.microsoft.com/office/excel/2006/main">
          <x14:cfRule type="expression" priority="52" id="{E3AD6EBD-57C0-491E-ABCC-FAAE19F3C737}">
            <xm:f>$S$8='Assessment Details'!$Q$23</xm:f>
            <x14:dxf>
              <font>
                <color theme="0"/>
              </font>
              <fill>
                <patternFill>
                  <bgColor theme="0"/>
                </patternFill>
              </fill>
              <border>
                <vertical/>
                <horizontal/>
              </border>
            </x14:dxf>
          </x14:cfRule>
          <xm:sqref>U172</xm:sqref>
        </x14:conditionalFormatting>
        <x14:conditionalFormatting xmlns:xm="http://schemas.microsoft.com/office/excel/2006/main">
          <x14:cfRule type="expression" priority="51" id="{B93FB5AD-8BD2-4291-BA51-0FD5CF79E3A6}">
            <xm:f>$S$8='Assessment Details'!$Q$23</xm:f>
            <x14:dxf>
              <border>
                <left style="thin">
                  <color theme="0"/>
                </left>
                <right style="thin">
                  <color theme="0"/>
                </right>
                <top style="thin">
                  <color theme="0"/>
                </top>
                <bottom style="thin">
                  <color theme="0"/>
                </bottom>
                <vertical/>
                <horizontal/>
              </border>
            </x14:dxf>
          </x14:cfRule>
          <xm:sqref>U172</xm:sqref>
        </x14:conditionalFormatting>
        <x14:conditionalFormatting xmlns:xm="http://schemas.microsoft.com/office/excel/2006/main">
          <x14:cfRule type="expression" priority="50" id="{414AA169-FC08-41A6-8F04-5D093969C332}">
            <xm:f>$S$8='Assessment Details'!$Q$23</xm:f>
            <x14:dxf>
              <font>
                <color theme="0"/>
              </font>
              <fill>
                <patternFill>
                  <bgColor theme="0"/>
                </patternFill>
              </fill>
              <border>
                <vertical/>
                <horizontal/>
              </border>
            </x14:dxf>
          </x14:cfRule>
          <xm:sqref>W172</xm:sqref>
        </x14:conditionalFormatting>
        <x14:conditionalFormatting xmlns:xm="http://schemas.microsoft.com/office/excel/2006/main">
          <x14:cfRule type="expression" priority="49" id="{0D6D41C6-C6D2-4F78-BF78-943B95B5B892}">
            <xm:f>$S$8='Assessment Details'!$Q$23</xm:f>
            <x14:dxf>
              <border>
                <left style="thin">
                  <color theme="0"/>
                </left>
                <right style="thin">
                  <color theme="0"/>
                </right>
                <top style="thin">
                  <color theme="0"/>
                </top>
                <bottom style="thin">
                  <color theme="0"/>
                </bottom>
                <vertical/>
                <horizontal/>
              </border>
            </x14:dxf>
          </x14:cfRule>
          <xm:sqref>W172</xm:sqref>
        </x14:conditionalFormatting>
        <x14:conditionalFormatting xmlns:xm="http://schemas.microsoft.com/office/excel/2006/main">
          <x14:cfRule type="expression" priority="62" id="{B14ACEF7-A871-4650-94A7-2E9FBD4C38BD}">
            <xm:f>$Z$8='Assessment Details'!$Q$23</xm:f>
            <x14:dxf>
              <font>
                <color theme="0"/>
              </font>
              <fill>
                <patternFill>
                  <bgColor theme="0"/>
                </patternFill>
              </fill>
            </x14:dxf>
          </x14:cfRule>
          <xm:sqref>U172:Z172</xm:sqref>
        </x14:conditionalFormatting>
        <x14:conditionalFormatting xmlns:xm="http://schemas.microsoft.com/office/excel/2006/main">
          <x14:cfRule type="expression" priority="63" id="{8A8C983C-F00C-4BE0-A652-7F04FDF50CD5}">
            <xm:f>$Z$8='Assessment Details'!$Q$23</xm:f>
            <x14:dxf>
              <border>
                <left style="thin">
                  <color theme="0"/>
                </left>
                <right style="thin">
                  <color theme="0"/>
                </right>
                <top style="thin">
                  <color theme="0"/>
                </top>
                <bottom style="thin">
                  <color theme="0"/>
                </bottom>
                <vertical/>
                <horizontal/>
              </border>
            </x14:dxf>
          </x14:cfRule>
          <xm:sqref>U172:Z172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R74"/>
  <sheetViews>
    <sheetView zoomScaleNormal="100" workbookViewId="0">
      <selection activeCell="D5" sqref="D5:P5"/>
    </sheetView>
  </sheetViews>
  <sheetFormatPr defaultColWidth="9.140625" defaultRowHeight="15" x14ac:dyDescent="0.2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1:18" ht="15" customHeight="1" thickBot="1" x14ac:dyDescent="0.3">
      <c r="B1" s="1396"/>
      <c r="C1" s="1397"/>
      <c r="D1" s="1397"/>
      <c r="E1" s="1397"/>
      <c r="F1" s="1397"/>
      <c r="G1" s="1397"/>
      <c r="H1" s="1397"/>
      <c r="I1" s="1397"/>
      <c r="J1" s="1397"/>
      <c r="K1" s="1397"/>
      <c r="L1" s="1397"/>
    </row>
    <row r="2" spans="1:18" ht="42" customHeight="1" x14ac:dyDescent="0.35">
      <c r="B2" s="1402" t="s">
        <v>1134</v>
      </c>
      <c r="C2" s="1403"/>
      <c r="D2" s="1403"/>
      <c r="E2" s="1403"/>
      <c r="F2" s="1403"/>
      <c r="G2" s="1403"/>
      <c r="H2" s="1403"/>
      <c r="I2" s="1403"/>
      <c r="J2" s="1403"/>
      <c r="K2" s="1403"/>
      <c r="L2" s="1403"/>
      <c r="M2" s="588"/>
      <c r="N2" s="589"/>
      <c r="O2" s="589"/>
      <c r="P2" s="634" t="str">
        <f>IF('Manuell filtrering og justering'!I2='Manuell filtrering og justering'!J2,"Bespoke","")</f>
        <v/>
      </c>
    </row>
    <row r="3" spans="1:18" ht="15" customHeight="1" x14ac:dyDescent="0.25">
      <c r="B3" s="590"/>
      <c r="C3" s="591"/>
      <c r="D3" s="591"/>
      <c r="E3" s="591"/>
      <c r="F3" s="591"/>
      <c r="G3" s="591"/>
      <c r="H3" s="591"/>
      <c r="I3" s="591"/>
      <c r="J3" s="591"/>
      <c r="K3" s="591"/>
      <c r="L3" s="591"/>
      <c r="M3" s="3"/>
      <c r="N3" s="3"/>
      <c r="O3" s="3"/>
      <c r="P3" s="592"/>
    </row>
    <row r="4" spans="1:18" ht="15" customHeight="1" x14ac:dyDescent="0.25">
      <c r="B4" s="593" t="s">
        <v>2</v>
      </c>
      <c r="C4" s="593" t="s">
        <v>6</v>
      </c>
      <c r="D4" s="1404" t="s">
        <v>1029</v>
      </c>
      <c r="E4" s="1405"/>
      <c r="F4" s="1405"/>
      <c r="G4" s="1405"/>
      <c r="H4" s="1405"/>
      <c r="I4" s="1405"/>
      <c r="J4" s="1405"/>
      <c r="K4" s="1405"/>
      <c r="L4" s="1405"/>
      <c r="M4" s="1405"/>
      <c r="N4" s="1405"/>
      <c r="O4" s="1405"/>
      <c r="P4" s="1406"/>
    </row>
    <row r="5" spans="1:18" ht="97.5" customHeight="1" x14ac:dyDescent="0.25">
      <c r="B5" s="606" t="s">
        <v>1162</v>
      </c>
      <c r="C5" s="594">
        <v>45327</v>
      </c>
      <c r="D5" s="1400" t="s">
        <v>1163</v>
      </c>
      <c r="E5" s="1401"/>
      <c r="F5" s="1401"/>
      <c r="G5" s="1401"/>
      <c r="H5" s="1401"/>
      <c r="I5" s="1401"/>
      <c r="J5" s="1401"/>
      <c r="K5" s="1401"/>
      <c r="L5" s="1401"/>
      <c r="M5" s="1401"/>
      <c r="N5" s="1401"/>
      <c r="O5" s="1401"/>
      <c r="P5" s="1401"/>
    </row>
    <row r="6" spans="1:18" ht="18.75" customHeight="1" x14ac:dyDescent="0.25">
      <c r="A6" s="3"/>
      <c r="B6" s="595"/>
      <c r="C6" s="596"/>
      <c r="D6" s="597"/>
      <c r="E6" s="597"/>
      <c r="F6" s="597"/>
      <c r="G6" s="597"/>
      <c r="H6" s="597"/>
      <c r="I6" s="597"/>
      <c r="J6" s="597"/>
      <c r="K6" s="597"/>
      <c r="L6" s="597"/>
      <c r="M6" s="597"/>
      <c r="N6" s="598"/>
      <c r="O6" s="598"/>
      <c r="P6" s="598"/>
      <c r="Q6" s="3"/>
      <c r="R6" s="3"/>
    </row>
    <row r="7" spans="1:18" x14ac:dyDescent="0.25">
      <c r="B7" s="599" t="s">
        <v>3</v>
      </c>
      <c r="C7" s="600" t="s">
        <v>6</v>
      </c>
      <c r="D7" s="601" t="s">
        <v>1029</v>
      </c>
      <c r="E7" s="602"/>
      <c r="F7" s="602"/>
      <c r="G7" s="602"/>
      <c r="H7" s="602"/>
      <c r="I7" s="602"/>
      <c r="J7" s="602"/>
      <c r="K7" s="602"/>
      <c r="L7" s="602"/>
      <c r="M7" s="602"/>
      <c r="N7" s="602"/>
      <c r="O7" s="602"/>
      <c r="P7" s="603"/>
    </row>
    <row r="8" spans="1:18" x14ac:dyDescent="0.25">
      <c r="B8" s="606" t="s">
        <v>1012</v>
      </c>
      <c r="C8" s="594">
        <v>45247</v>
      </c>
      <c r="D8" s="1400" t="s">
        <v>1137</v>
      </c>
      <c r="E8" s="1401"/>
      <c r="F8" s="1401"/>
      <c r="G8" s="1401"/>
      <c r="H8" s="1401"/>
      <c r="I8" s="1401"/>
      <c r="J8" s="1401"/>
      <c r="K8" s="1401"/>
      <c r="L8" s="1401"/>
      <c r="M8" s="1401"/>
      <c r="N8" s="1401"/>
      <c r="O8" s="1401"/>
      <c r="P8" s="1401"/>
    </row>
    <row r="9" spans="1:18" hidden="1" x14ac:dyDescent="0.25">
      <c r="B9" s="606"/>
      <c r="C9" s="594"/>
      <c r="D9" s="1410"/>
      <c r="E9" s="1401"/>
      <c r="F9" s="1401"/>
      <c r="G9" s="1401"/>
      <c r="H9" s="1401"/>
      <c r="I9" s="1401"/>
      <c r="J9" s="1401"/>
      <c r="K9" s="1401"/>
      <c r="L9" s="1401"/>
      <c r="M9" s="1401"/>
      <c r="N9" s="1401"/>
      <c r="O9" s="1401"/>
      <c r="P9" s="1401"/>
    </row>
    <row r="10" spans="1:18" hidden="1" x14ac:dyDescent="0.25">
      <c r="B10" s="606"/>
      <c r="C10" s="594"/>
      <c r="D10" s="1407"/>
      <c r="E10" s="1408"/>
      <c r="F10" s="1408"/>
      <c r="G10" s="1408"/>
      <c r="H10" s="1408"/>
      <c r="I10" s="1408"/>
      <c r="J10" s="1408"/>
      <c r="K10" s="1408"/>
      <c r="L10" s="1408"/>
      <c r="M10" s="1408"/>
      <c r="N10" s="1408"/>
      <c r="O10" s="1408"/>
      <c r="P10" s="1409"/>
    </row>
    <row r="11" spans="1:18" hidden="1" x14ac:dyDescent="0.25">
      <c r="B11" s="606"/>
      <c r="C11" s="594"/>
      <c r="D11" s="1407"/>
      <c r="E11" s="1408"/>
      <c r="F11" s="1408"/>
      <c r="G11" s="1408"/>
      <c r="H11" s="1408"/>
      <c r="I11" s="1408"/>
      <c r="J11" s="1408"/>
      <c r="K11" s="1408"/>
      <c r="L11" s="1408"/>
      <c r="M11" s="1408"/>
      <c r="N11" s="1408"/>
      <c r="O11" s="1408"/>
      <c r="P11" s="1409"/>
    </row>
    <row r="12" spans="1:18" hidden="1" x14ac:dyDescent="0.25">
      <c r="B12" s="606"/>
      <c r="C12" s="594"/>
      <c r="D12" s="1392"/>
      <c r="E12" s="1393"/>
      <c r="F12" s="1393"/>
      <c r="G12" s="1393"/>
      <c r="H12" s="1393"/>
      <c r="I12" s="1393"/>
      <c r="J12" s="1393"/>
      <c r="K12" s="1393"/>
      <c r="L12" s="1393"/>
      <c r="M12" s="1393"/>
      <c r="N12" s="1393"/>
      <c r="O12" s="1393"/>
      <c r="P12" s="1394"/>
    </row>
    <row r="13" spans="1:18" hidden="1" x14ac:dyDescent="0.25">
      <c r="B13" s="606"/>
      <c r="C13" s="594"/>
      <c r="D13" s="1392"/>
      <c r="E13" s="1393"/>
      <c r="F13" s="1393"/>
      <c r="G13" s="1393"/>
      <c r="H13" s="1393"/>
      <c r="I13" s="1393"/>
      <c r="J13" s="1393"/>
      <c r="K13" s="1393"/>
      <c r="L13" s="1393"/>
      <c r="M13" s="1393"/>
      <c r="N13" s="1393"/>
      <c r="O13" s="1393"/>
      <c r="P13" s="1394"/>
    </row>
    <row r="14" spans="1:18" hidden="1" x14ac:dyDescent="0.25">
      <c r="B14" s="606"/>
      <c r="C14" s="594"/>
      <c r="D14" s="1398"/>
      <c r="E14" s="1399"/>
      <c r="F14" s="1399"/>
      <c r="G14" s="1399"/>
      <c r="H14" s="1399"/>
      <c r="I14" s="1399"/>
      <c r="J14" s="1399"/>
      <c r="K14" s="1399"/>
      <c r="L14" s="1399"/>
      <c r="M14" s="1399"/>
      <c r="N14" s="1399"/>
      <c r="O14" s="1399"/>
      <c r="P14" s="1399"/>
    </row>
    <row r="15" spans="1:18" hidden="1" x14ac:dyDescent="0.25">
      <c r="B15" s="604"/>
      <c r="C15" s="605"/>
      <c r="D15" s="1395"/>
      <c r="E15" s="1391"/>
      <c r="F15" s="1391"/>
      <c r="G15" s="1391"/>
      <c r="H15" s="1391"/>
      <c r="I15" s="1391"/>
      <c r="J15" s="1391"/>
      <c r="K15" s="1391"/>
      <c r="L15" s="1391"/>
      <c r="M15" s="1391"/>
      <c r="N15" s="1391"/>
      <c r="O15" s="1391"/>
      <c r="P15" s="1391"/>
    </row>
    <row r="16" spans="1:18" hidden="1" x14ac:dyDescent="0.25">
      <c r="B16" s="604"/>
      <c r="C16" s="605"/>
      <c r="D16" s="1395"/>
      <c r="E16" s="1391"/>
      <c r="F16" s="1391"/>
      <c r="G16" s="1391"/>
      <c r="H16" s="1391"/>
      <c r="I16" s="1391"/>
      <c r="J16" s="1391"/>
      <c r="K16" s="1391"/>
      <c r="L16" s="1391"/>
      <c r="M16" s="1391"/>
      <c r="N16" s="1391"/>
      <c r="O16" s="1391"/>
      <c r="P16" s="1391"/>
    </row>
    <row r="17" spans="2:16" hidden="1" x14ac:dyDescent="0.25">
      <c r="B17" s="604"/>
      <c r="C17" s="605"/>
      <c r="D17" s="1390"/>
      <c r="E17" s="1391"/>
      <c r="F17" s="1391"/>
      <c r="G17" s="1391"/>
      <c r="H17" s="1391"/>
      <c r="I17" s="1391"/>
      <c r="J17" s="1391"/>
      <c r="K17" s="1391"/>
      <c r="L17" s="1391"/>
      <c r="M17" s="1391"/>
      <c r="N17" s="1391"/>
      <c r="O17" s="1391"/>
      <c r="P17" s="1391"/>
    </row>
    <row r="18" spans="2:16" ht="13.5" hidden="1" customHeight="1" x14ac:dyDescent="0.25">
      <c r="B18" s="604"/>
      <c r="C18" s="605"/>
      <c r="D18" s="1390"/>
      <c r="E18" s="1391"/>
      <c r="F18" s="1391"/>
      <c r="G18" s="1391"/>
      <c r="H18" s="1391"/>
      <c r="I18" s="1391"/>
      <c r="J18" s="1391"/>
      <c r="K18" s="1391"/>
      <c r="L18" s="1391"/>
      <c r="M18" s="1391"/>
      <c r="N18" s="1391"/>
      <c r="O18" s="1391"/>
      <c r="P18" s="1391"/>
    </row>
    <row r="19" spans="2:16" hidden="1" x14ac:dyDescent="0.25">
      <c r="B19" s="604"/>
      <c r="C19" s="605"/>
      <c r="D19" s="1390"/>
      <c r="E19" s="1391"/>
      <c r="F19" s="1391"/>
      <c r="G19" s="1391"/>
      <c r="H19" s="1391"/>
      <c r="I19" s="1391"/>
      <c r="J19" s="1391"/>
      <c r="K19" s="1391"/>
      <c r="L19" s="1391"/>
      <c r="M19" s="1391"/>
      <c r="N19" s="1391"/>
      <c r="O19" s="1391"/>
      <c r="P19" s="1391"/>
    </row>
    <row r="20" spans="2:16" x14ac:dyDescent="0.25">
      <c r="B20" s="607"/>
      <c r="C20" s="607"/>
      <c r="D20" s="607"/>
      <c r="E20" s="607"/>
      <c r="F20" s="607"/>
      <c r="G20" s="607"/>
      <c r="H20" s="607"/>
      <c r="I20" s="607"/>
      <c r="J20" s="607"/>
      <c r="K20" s="607"/>
      <c r="L20" s="607"/>
      <c r="M20" s="607"/>
      <c r="N20" s="607"/>
      <c r="O20" s="607"/>
      <c r="P20" s="607"/>
    </row>
    <row r="21" spans="2:16" x14ac:dyDescent="0.25">
      <c r="B21" s="607"/>
      <c r="C21" s="607"/>
      <c r="D21" s="607"/>
      <c r="E21" s="607"/>
      <c r="F21" s="607"/>
      <c r="G21" s="607"/>
      <c r="H21" s="607"/>
      <c r="I21" s="607"/>
      <c r="J21" s="607"/>
      <c r="K21" s="607"/>
      <c r="L21" s="607"/>
      <c r="M21" s="607"/>
      <c r="N21" s="607"/>
      <c r="O21" s="607"/>
      <c r="P21" s="607"/>
    </row>
    <row r="22" spans="2:16" x14ac:dyDescent="0.25">
      <c r="B22" s="607"/>
      <c r="C22" s="607"/>
      <c r="D22" s="607"/>
      <c r="E22" s="607"/>
      <c r="F22" s="607"/>
      <c r="G22" s="607"/>
      <c r="H22" s="607"/>
      <c r="I22" s="607"/>
      <c r="J22" s="607"/>
      <c r="K22" s="607"/>
      <c r="L22" s="607"/>
      <c r="M22" s="607"/>
      <c r="N22" s="607"/>
      <c r="O22" s="607"/>
      <c r="P22" s="607"/>
    </row>
    <row r="23" spans="2:16" x14ac:dyDescent="0.25">
      <c r="B23" s="607"/>
      <c r="C23" s="607"/>
      <c r="D23" s="607"/>
      <c r="E23" s="607"/>
      <c r="F23" s="607"/>
      <c r="G23" s="607"/>
      <c r="H23" s="607"/>
      <c r="I23" s="607"/>
      <c r="J23" s="607"/>
      <c r="K23" s="607"/>
      <c r="L23" s="607"/>
      <c r="M23" s="607"/>
      <c r="N23" s="607"/>
      <c r="O23" s="607"/>
      <c r="P23" s="607"/>
    </row>
    <row r="24" spans="2:16" x14ac:dyDescent="0.25">
      <c r="B24" s="607"/>
      <c r="C24" s="607"/>
      <c r="D24" s="607"/>
      <c r="E24" s="607"/>
      <c r="F24" s="607"/>
      <c r="G24" s="607"/>
      <c r="H24" s="607"/>
      <c r="I24" s="607"/>
      <c r="J24" s="607"/>
      <c r="K24" s="607"/>
      <c r="L24" s="607"/>
      <c r="M24" s="607"/>
      <c r="N24" s="607"/>
      <c r="O24" s="607"/>
      <c r="P24" s="607"/>
    </row>
    <row r="25" spans="2:16" x14ac:dyDescent="0.25">
      <c r="B25" s="607"/>
      <c r="C25" s="607"/>
      <c r="D25" s="607"/>
      <c r="E25" s="607"/>
      <c r="F25" s="607"/>
      <c r="G25" s="607"/>
      <c r="H25" s="607"/>
      <c r="I25" s="607"/>
      <c r="J25" s="607"/>
      <c r="K25" s="607"/>
      <c r="L25" s="607"/>
      <c r="M25" s="607"/>
      <c r="N25" s="607"/>
      <c r="O25" s="607"/>
      <c r="P25" s="607"/>
    </row>
    <row r="26" spans="2:16" x14ac:dyDescent="0.25">
      <c r="B26" s="607"/>
      <c r="C26" s="607"/>
      <c r="D26" s="607"/>
      <c r="E26" s="607"/>
      <c r="F26" s="607"/>
      <c r="G26" s="607"/>
      <c r="H26" s="607"/>
      <c r="I26" s="607"/>
      <c r="J26" s="607"/>
      <c r="K26" s="607"/>
      <c r="L26" s="607"/>
      <c r="M26" s="607"/>
      <c r="N26" s="607"/>
      <c r="O26" s="607"/>
      <c r="P26" s="607"/>
    </row>
    <row r="27" spans="2:16" x14ac:dyDescent="0.25">
      <c r="B27" s="607"/>
      <c r="C27" s="607"/>
      <c r="D27" s="607"/>
      <c r="E27" s="607"/>
      <c r="F27" s="607"/>
      <c r="G27" s="607"/>
      <c r="H27" s="607"/>
      <c r="I27" s="607"/>
      <c r="J27" s="607"/>
      <c r="K27" s="607"/>
      <c r="L27" s="607"/>
      <c r="M27" s="607"/>
      <c r="N27" s="607"/>
      <c r="O27" s="607"/>
      <c r="P27" s="607"/>
    </row>
    <row r="28" spans="2:16" x14ac:dyDescent="0.25">
      <c r="B28" s="3"/>
      <c r="C28" s="3"/>
      <c r="D28" s="3"/>
      <c r="E28" s="3"/>
      <c r="F28" s="3"/>
      <c r="G28" s="3"/>
      <c r="H28" s="3"/>
      <c r="I28" s="3"/>
      <c r="J28" s="3"/>
      <c r="K28" s="3"/>
      <c r="L28" s="3"/>
      <c r="M28" s="3"/>
      <c r="N28" s="3"/>
      <c r="O28" s="3"/>
      <c r="P28" s="3"/>
    </row>
    <row r="29" spans="2:16" x14ac:dyDescent="0.25">
      <c r="B29" s="3"/>
      <c r="C29" s="3"/>
      <c r="D29" s="3"/>
      <c r="E29" s="3"/>
      <c r="F29" s="3"/>
      <c r="G29" s="3"/>
      <c r="H29" s="3"/>
      <c r="I29" s="3"/>
      <c r="J29" s="3"/>
      <c r="K29" s="3"/>
      <c r="L29" s="3"/>
      <c r="M29" s="3"/>
      <c r="N29" s="3"/>
      <c r="O29" s="3"/>
      <c r="P29" s="3"/>
    </row>
    <row r="30" spans="2:16" x14ac:dyDescent="0.25">
      <c r="B30" s="3"/>
      <c r="C30" s="3"/>
      <c r="D30" s="3"/>
      <c r="E30" s="3"/>
      <c r="F30" s="3"/>
      <c r="G30" s="3"/>
      <c r="H30" s="3"/>
      <c r="I30" s="3"/>
      <c r="J30" s="3"/>
      <c r="K30" s="3"/>
      <c r="L30" s="3"/>
      <c r="M30" s="3"/>
      <c r="N30" s="3"/>
      <c r="O30" s="3"/>
      <c r="P30" s="3"/>
    </row>
    <row r="31" spans="2:16" x14ac:dyDescent="0.25">
      <c r="B31" s="3"/>
      <c r="C31" s="3"/>
      <c r="D31" s="3"/>
      <c r="E31" s="3"/>
      <c r="F31" s="3"/>
      <c r="G31" s="3"/>
      <c r="H31" s="3"/>
      <c r="I31" s="3"/>
      <c r="J31" s="3"/>
      <c r="K31" s="3"/>
      <c r="L31" s="3"/>
      <c r="M31" s="3"/>
      <c r="N31" s="3"/>
      <c r="O31" s="3"/>
      <c r="P31" s="3"/>
    </row>
    <row r="32" spans="2:16" x14ac:dyDescent="0.25">
      <c r="B32" s="3"/>
      <c r="C32" s="3"/>
      <c r="D32" s="3"/>
      <c r="E32" s="3"/>
      <c r="F32" s="3"/>
      <c r="G32" s="3"/>
      <c r="H32" s="3"/>
      <c r="I32" s="3"/>
      <c r="J32" s="3"/>
      <c r="K32" s="3"/>
      <c r="L32" s="3"/>
      <c r="M32" s="3"/>
      <c r="N32" s="3"/>
      <c r="O32" s="3"/>
      <c r="P32" s="3"/>
    </row>
    <row r="33" spans="2:16" x14ac:dyDescent="0.25">
      <c r="B33" s="3"/>
      <c r="C33" s="3"/>
      <c r="D33" s="3"/>
      <c r="E33" s="3"/>
      <c r="F33" s="3"/>
      <c r="G33" s="3"/>
      <c r="H33" s="3"/>
      <c r="I33" s="3"/>
      <c r="J33" s="3"/>
      <c r="K33" s="3"/>
      <c r="L33" s="3"/>
      <c r="M33" s="3"/>
      <c r="N33" s="3"/>
      <c r="O33" s="3"/>
      <c r="P33" s="3"/>
    </row>
    <row r="34" spans="2:16" x14ac:dyDescent="0.25">
      <c r="B34" s="3"/>
      <c r="C34" s="3"/>
      <c r="D34" s="3"/>
      <c r="E34" s="3"/>
      <c r="F34" s="3"/>
      <c r="G34" s="3"/>
      <c r="H34" s="3"/>
      <c r="I34" s="3"/>
      <c r="J34" s="3"/>
      <c r="K34" s="3"/>
      <c r="L34" s="3"/>
      <c r="M34" s="3"/>
      <c r="N34" s="3"/>
      <c r="O34" s="3"/>
      <c r="P34" s="3"/>
    </row>
    <row r="35" spans="2:16" x14ac:dyDescent="0.25">
      <c r="B35" s="3"/>
      <c r="C35" s="3"/>
      <c r="D35" s="3"/>
      <c r="E35" s="3"/>
      <c r="F35" s="3"/>
      <c r="G35" s="3"/>
      <c r="H35" s="3"/>
      <c r="I35" s="3"/>
      <c r="J35" s="3"/>
      <c r="K35" s="3"/>
      <c r="L35" s="3"/>
      <c r="M35" s="3"/>
      <c r="N35" s="3"/>
      <c r="O35" s="3"/>
      <c r="P35" s="3"/>
    </row>
    <row r="36" spans="2:16" x14ac:dyDescent="0.25">
      <c r="B36" s="3"/>
      <c r="C36" s="3"/>
      <c r="D36" s="3"/>
      <c r="E36" s="3"/>
      <c r="F36" s="3"/>
      <c r="G36" s="3"/>
      <c r="H36" s="3"/>
      <c r="I36" s="3"/>
      <c r="J36" s="3"/>
      <c r="K36" s="3"/>
      <c r="L36" s="3"/>
      <c r="M36" s="3"/>
      <c r="N36" s="3"/>
      <c r="O36" s="3"/>
      <c r="P36" s="3"/>
    </row>
    <row r="37" spans="2:16" x14ac:dyDescent="0.25">
      <c r="B37" s="3"/>
      <c r="C37" s="3"/>
      <c r="D37" s="3"/>
      <c r="E37" s="3"/>
      <c r="F37" s="3"/>
      <c r="G37" s="3"/>
      <c r="H37" s="3"/>
      <c r="I37" s="3"/>
      <c r="J37" s="3"/>
      <c r="K37" s="3"/>
      <c r="L37" s="3"/>
      <c r="M37" s="3"/>
      <c r="N37" s="3"/>
      <c r="O37" s="3"/>
      <c r="P37" s="3"/>
    </row>
    <row r="38" spans="2:16" x14ac:dyDescent="0.25">
      <c r="B38" s="3"/>
      <c r="C38" s="3"/>
      <c r="D38" s="3"/>
      <c r="E38" s="3"/>
      <c r="F38" s="3"/>
      <c r="G38" s="3"/>
      <c r="H38" s="3"/>
      <c r="I38" s="3"/>
      <c r="J38" s="3"/>
      <c r="K38" s="3"/>
      <c r="L38" s="3"/>
      <c r="M38" s="3"/>
      <c r="N38" s="3"/>
      <c r="O38" s="3"/>
      <c r="P38" s="3"/>
    </row>
    <row r="39" spans="2:16" x14ac:dyDescent="0.25">
      <c r="B39" s="3"/>
      <c r="C39" s="3"/>
      <c r="D39" s="3"/>
      <c r="E39" s="3"/>
      <c r="F39" s="3"/>
      <c r="G39" s="3"/>
      <c r="H39" s="3"/>
      <c r="I39" s="3"/>
      <c r="J39" s="3"/>
      <c r="K39" s="3"/>
      <c r="L39" s="3"/>
      <c r="M39" s="3"/>
      <c r="N39" s="3"/>
      <c r="O39" s="3"/>
      <c r="P39" s="3"/>
    </row>
    <row r="40" spans="2:16" x14ac:dyDescent="0.25">
      <c r="B40" s="3"/>
      <c r="C40" s="3"/>
      <c r="D40" s="3"/>
      <c r="E40" s="3"/>
      <c r="F40" s="3"/>
      <c r="G40" s="3"/>
      <c r="H40" s="3"/>
      <c r="I40" s="3"/>
      <c r="J40" s="3"/>
      <c r="K40" s="3"/>
      <c r="L40" s="3"/>
      <c r="M40" s="3"/>
      <c r="N40" s="3"/>
      <c r="O40" s="3"/>
      <c r="P40" s="3"/>
    </row>
    <row r="41" spans="2:16" x14ac:dyDescent="0.25">
      <c r="B41" s="3"/>
      <c r="C41" s="3"/>
      <c r="D41" s="3"/>
      <c r="E41" s="3"/>
      <c r="F41" s="3"/>
      <c r="G41" s="3"/>
      <c r="H41" s="3"/>
      <c r="I41" s="3"/>
      <c r="J41" s="3"/>
      <c r="K41" s="3"/>
      <c r="L41" s="3"/>
      <c r="M41" s="3"/>
      <c r="N41" s="3"/>
      <c r="O41" s="3"/>
      <c r="P41" s="3"/>
    </row>
    <row r="42" spans="2:16" x14ac:dyDescent="0.25">
      <c r="B42" s="3"/>
      <c r="C42" s="3"/>
      <c r="D42" s="3"/>
      <c r="E42" s="3"/>
      <c r="F42" s="3"/>
      <c r="G42" s="3"/>
      <c r="H42" s="3"/>
      <c r="I42" s="3"/>
      <c r="J42" s="3"/>
      <c r="K42" s="3"/>
      <c r="L42" s="3"/>
      <c r="M42" s="3"/>
      <c r="N42" s="3"/>
      <c r="O42" s="3"/>
      <c r="P42" s="3"/>
    </row>
    <row r="43" spans="2:16" x14ac:dyDescent="0.25">
      <c r="B43" s="3"/>
      <c r="C43" s="3"/>
      <c r="D43" s="3"/>
      <c r="E43" s="3"/>
      <c r="F43" s="3"/>
      <c r="G43" s="3"/>
      <c r="H43" s="3"/>
      <c r="I43" s="3"/>
      <c r="J43" s="3"/>
      <c r="K43" s="3"/>
      <c r="L43" s="3"/>
      <c r="M43" s="3"/>
      <c r="N43" s="3"/>
      <c r="O43" s="3"/>
      <c r="P43" s="3"/>
    </row>
    <row r="44" spans="2:16" x14ac:dyDescent="0.25">
      <c r="B44" s="3"/>
      <c r="C44" s="3"/>
      <c r="D44" s="3"/>
      <c r="E44" s="3"/>
      <c r="F44" s="3"/>
      <c r="G44" s="3"/>
      <c r="H44" s="3"/>
      <c r="I44" s="3"/>
      <c r="J44" s="3"/>
      <c r="K44" s="3"/>
      <c r="L44" s="3"/>
      <c r="M44" s="3"/>
      <c r="N44" s="3"/>
      <c r="O44" s="3"/>
      <c r="P44" s="3"/>
    </row>
    <row r="45" spans="2:16" x14ac:dyDescent="0.25">
      <c r="B45" s="3"/>
      <c r="C45" s="3"/>
      <c r="D45" s="3"/>
      <c r="E45" s="3"/>
      <c r="F45" s="3"/>
      <c r="G45" s="3"/>
      <c r="H45" s="3"/>
      <c r="I45" s="3"/>
      <c r="J45" s="3"/>
      <c r="K45" s="3"/>
      <c r="L45" s="3"/>
      <c r="M45" s="3"/>
      <c r="N45" s="3"/>
      <c r="O45" s="3"/>
      <c r="P45" s="3"/>
    </row>
    <row r="46" spans="2:16" x14ac:dyDescent="0.25">
      <c r="B46" s="3"/>
      <c r="C46" s="3"/>
      <c r="D46" s="3"/>
      <c r="E46" s="3"/>
      <c r="F46" s="3"/>
      <c r="G46" s="3"/>
      <c r="H46" s="3"/>
      <c r="I46" s="3"/>
      <c r="J46" s="3"/>
      <c r="K46" s="3"/>
      <c r="L46" s="3"/>
      <c r="M46" s="3"/>
      <c r="N46" s="3"/>
      <c r="O46" s="3"/>
      <c r="P46" s="3"/>
    </row>
    <row r="47" spans="2:16" x14ac:dyDescent="0.25">
      <c r="B47" s="3"/>
      <c r="C47" s="3"/>
      <c r="D47" s="3"/>
      <c r="E47" s="3"/>
      <c r="F47" s="3"/>
      <c r="G47" s="3"/>
      <c r="H47" s="3"/>
      <c r="I47" s="3"/>
      <c r="J47" s="3"/>
      <c r="K47" s="3"/>
      <c r="L47" s="3"/>
      <c r="M47" s="3"/>
      <c r="N47" s="3"/>
      <c r="O47" s="3"/>
      <c r="P47" s="3"/>
    </row>
    <row r="48" spans="2:16" x14ac:dyDescent="0.25">
      <c r="B48" s="3"/>
      <c r="C48" s="3"/>
      <c r="D48" s="3"/>
      <c r="E48" s="3"/>
      <c r="F48" s="3"/>
      <c r="G48" s="3"/>
      <c r="H48" s="3"/>
      <c r="I48" s="3"/>
      <c r="J48" s="3"/>
      <c r="K48" s="3"/>
      <c r="L48" s="3"/>
      <c r="M48" s="3"/>
      <c r="N48" s="3"/>
      <c r="O48" s="3"/>
      <c r="P48" s="3"/>
    </row>
    <row r="49" spans="2:16" x14ac:dyDescent="0.25">
      <c r="B49" s="3"/>
      <c r="C49" s="3"/>
      <c r="D49" s="3"/>
      <c r="E49" s="3"/>
      <c r="F49" s="3"/>
      <c r="G49" s="3"/>
      <c r="H49" s="3"/>
      <c r="I49" s="3"/>
      <c r="J49" s="3"/>
      <c r="K49" s="3"/>
      <c r="L49" s="3"/>
      <c r="M49" s="3"/>
      <c r="N49" s="3"/>
      <c r="O49" s="3"/>
      <c r="P49" s="3"/>
    </row>
    <row r="50" spans="2:16" x14ac:dyDescent="0.25">
      <c r="B50" s="3"/>
      <c r="C50" s="3"/>
      <c r="D50" s="3"/>
      <c r="E50" s="3"/>
      <c r="F50" s="3"/>
      <c r="G50" s="3"/>
      <c r="H50" s="3"/>
      <c r="I50" s="3"/>
      <c r="J50" s="3"/>
      <c r="K50" s="3"/>
      <c r="L50" s="3"/>
      <c r="M50" s="3"/>
      <c r="N50" s="3"/>
      <c r="O50" s="3"/>
      <c r="P50" s="3"/>
    </row>
    <row r="51" spans="2:16" x14ac:dyDescent="0.25">
      <c r="B51" s="3"/>
      <c r="C51" s="3"/>
      <c r="D51" s="3"/>
      <c r="E51" s="3"/>
      <c r="F51" s="3"/>
      <c r="G51" s="3"/>
      <c r="H51" s="3"/>
      <c r="I51" s="3"/>
      <c r="J51" s="3"/>
      <c r="K51" s="3"/>
      <c r="L51" s="3"/>
      <c r="M51" s="3"/>
      <c r="N51" s="3"/>
      <c r="O51" s="3"/>
      <c r="P51" s="3"/>
    </row>
    <row r="52" spans="2:16" x14ac:dyDescent="0.25">
      <c r="B52" s="3"/>
      <c r="C52" s="3"/>
      <c r="D52" s="3"/>
      <c r="E52" s="3"/>
      <c r="F52" s="3"/>
      <c r="G52" s="3"/>
      <c r="H52" s="3"/>
      <c r="I52" s="3"/>
      <c r="J52" s="3"/>
      <c r="K52" s="3"/>
      <c r="L52" s="3"/>
      <c r="M52" s="3"/>
      <c r="N52" s="3"/>
      <c r="O52" s="3"/>
      <c r="P52" s="3"/>
    </row>
    <row r="53" spans="2:16" x14ac:dyDescent="0.25">
      <c r="B53" s="3"/>
      <c r="C53" s="3"/>
      <c r="D53" s="3"/>
      <c r="E53" s="3"/>
      <c r="F53" s="3"/>
      <c r="G53" s="3"/>
      <c r="H53" s="3"/>
      <c r="I53" s="3"/>
      <c r="J53" s="3"/>
      <c r="K53" s="3"/>
      <c r="L53" s="3"/>
      <c r="M53" s="3"/>
      <c r="N53" s="3"/>
      <c r="O53" s="3"/>
      <c r="P53" s="3"/>
    </row>
    <row r="54" spans="2:16" x14ac:dyDescent="0.25">
      <c r="B54" s="3"/>
      <c r="C54" s="3"/>
      <c r="D54" s="3"/>
      <c r="E54" s="3"/>
      <c r="F54" s="3"/>
      <c r="G54" s="3"/>
      <c r="H54" s="3"/>
      <c r="I54" s="3"/>
      <c r="J54" s="3"/>
      <c r="K54" s="3"/>
      <c r="L54" s="3"/>
      <c r="M54" s="3"/>
      <c r="N54" s="3"/>
      <c r="O54" s="3"/>
      <c r="P54" s="3"/>
    </row>
    <row r="55" spans="2:16" x14ac:dyDescent="0.25">
      <c r="B55" s="3"/>
      <c r="C55" s="3"/>
      <c r="D55" s="3"/>
      <c r="E55" s="3"/>
      <c r="F55" s="3"/>
      <c r="G55" s="3"/>
      <c r="H55" s="3"/>
      <c r="I55" s="3"/>
      <c r="J55" s="3"/>
      <c r="K55" s="3"/>
      <c r="L55" s="3"/>
      <c r="M55" s="3"/>
      <c r="N55" s="3"/>
      <c r="O55" s="3"/>
      <c r="P55" s="3"/>
    </row>
    <row r="56" spans="2:16" x14ac:dyDescent="0.25">
      <c r="B56" s="3"/>
      <c r="C56" s="3"/>
      <c r="D56" s="3"/>
      <c r="E56" s="3"/>
      <c r="F56" s="3"/>
      <c r="G56" s="3"/>
      <c r="H56" s="3"/>
      <c r="I56" s="3"/>
      <c r="J56" s="3"/>
      <c r="K56" s="3"/>
      <c r="L56" s="3"/>
      <c r="M56" s="3"/>
      <c r="N56" s="3"/>
      <c r="O56" s="3"/>
      <c r="P56" s="3"/>
    </row>
    <row r="57" spans="2:16" x14ac:dyDescent="0.25">
      <c r="B57" s="3"/>
      <c r="C57" s="3"/>
      <c r="D57" s="3"/>
      <c r="E57" s="3"/>
      <c r="F57" s="3"/>
      <c r="G57" s="3"/>
      <c r="H57" s="3"/>
      <c r="I57" s="3"/>
      <c r="J57" s="3"/>
      <c r="K57" s="3"/>
      <c r="L57" s="3"/>
      <c r="M57" s="3"/>
      <c r="N57" s="3"/>
      <c r="O57" s="3"/>
      <c r="P57" s="3"/>
    </row>
    <row r="58" spans="2:16" x14ac:dyDescent="0.25">
      <c r="B58" s="3"/>
      <c r="C58" s="3"/>
      <c r="D58" s="3"/>
      <c r="E58" s="3"/>
      <c r="F58" s="3"/>
      <c r="G58" s="3"/>
      <c r="H58" s="3"/>
      <c r="I58" s="3"/>
      <c r="J58" s="3"/>
      <c r="K58" s="3"/>
      <c r="L58" s="3"/>
      <c r="M58" s="3"/>
      <c r="N58" s="3"/>
      <c r="O58" s="3"/>
      <c r="P58" s="3"/>
    </row>
    <row r="59" spans="2:16" x14ac:dyDescent="0.25">
      <c r="B59" s="3"/>
      <c r="C59" s="3"/>
      <c r="D59" s="3"/>
      <c r="E59" s="3"/>
      <c r="F59" s="3"/>
      <c r="G59" s="3"/>
      <c r="H59" s="3"/>
      <c r="I59" s="3"/>
      <c r="J59" s="3"/>
      <c r="K59" s="3"/>
      <c r="L59" s="3"/>
      <c r="M59" s="3"/>
      <c r="N59" s="3"/>
      <c r="O59" s="3"/>
      <c r="P59" s="3"/>
    </row>
    <row r="60" spans="2:16" x14ac:dyDescent="0.25">
      <c r="B60" s="3"/>
      <c r="C60" s="3"/>
      <c r="D60" s="3"/>
      <c r="E60" s="3"/>
      <c r="F60" s="3"/>
      <c r="G60" s="3"/>
      <c r="H60" s="3"/>
      <c r="I60" s="3"/>
      <c r="J60" s="3"/>
      <c r="K60" s="3"/>
      <c r="L60" s="3"/>
      <c r="M60" s="3"/>
      <c r="N60" s="3"/>
      <c r="O60" s="3"/>
      <c r="P60" s="3"/>
    </row>
    <row r="61" spans="2:16" x14ac:dyDescent="0.25">
      <c r="B61" s="3"/>
      <c r="C61" s="3"/>
      <c r="D61" s="3"/>
      <c r="E61" s="3"/>
      <c r="F61" s="3"/>
      <c r="G61" s="3"/>
      <c r="H61" s="3"/>
      <c r="I61" s="3"/>
      <c r="J61" s="3"/>
      <c r="K61" s="3"/>
      <c r="L61" s="3"/>
      <c r="M61" s="3"/>
      <c r="N61" s="3"/>
      <c r="O61" s="3"/>
      <c r="P61" s="3"/>
    </row>
    <row r="62" spans="2:16" x14ac:dyDescent="0.25">
      <c r="B62" s="3"/>
      <c r="C62" s="3"/>
      <c r="D62" s="3"/>
      <c r="E62" s="3"/>
      <c r="F62" s="3"/>
      <c r="G62" s="3"/>
      <c r="H62" s="3"/>
      <c r="I62" s="3"/>
      <c r="J62" s="3"/>
      <c r="K62" s="3"/>
      <c r="L62" s="3"/>
      <c r="M62" s="3"/>
      <c r="N62" s="3"/>
      <c r="O62" s="3"/>
      <c r="P62" s="3"/>
    </row>
    <row r="63" spans="2:16" x14ac:dyDescent="0.25">
      <c r="B63" s="3"/>
      <c r="C63" s="3"/>
      <c r="D63" s="3"/>
      <c r="E63" s="3"/>
      <c r="F63" s="3"/>
      <c r="G63" s="3"/>
      <c r="H63" s="3"/>
      <c r="I63" s="3"/>
      <c r="J63" s="3"/>
      <c r="K63" s="3"/>
      <c r="L63" s="3"/>
      <c r="M63" s="3"/>
      <c r="N63" s="3"/>
      <c r="O63" s="3"/>
      <c r="P63" s="3"/>
    </row>
    <row r="64" spans="2:16" x14ac:dyDescent="0.25">
      <c r="B64" s="3"/>
      <c r="C64" s="3"/>
      <c r="D64" s="3"/>
      <c r="E64" s="3"/>
      <c r="F64" s="3"/>
      <c r="G64" s="3"/>
      <c r="H64" s="3"/>
      <c r="I64" s="3"/>
      <c r="J64" s="3"/>
      <c r="K64" s="3"/>
      <c r="L64" s="3"/>
      <c r="M64" s="3"/>
      <c r="N64" s="3"/>
      <c r="O64" s="3"/>
      <c r="P64" s="3"/>
    </row>
    <row r="65" spans="2:16" x14ac:dyDescent="0.25">
      <c r="B65" s="3"/>
      <c r="C65" s="3"/>
      <c r="D65" s="3"/>
      <c r="E65" s="3"/>
      <c r="F65" s="3"/>
      <c r="G65" s="3"/>
      <c r="H65" s="3"/>
      <c r="I65" s="3"/>
      <c r="J65" s="3"/>
      <c r="K65" s="3"/>
      <c r="L65" s="3"/>
      <c r="M65" s="3"/>
      <c r="N65" s="3"/>
      <c r="O65" s="3"/>
      <c r="P65" s="3"/>
    </row>
    <row r="66" spans="2:16" x14ac:dyDescent="0.25">
      <c r="B66" s="3"/>
      <c r="C66" s="3"/>
      <c r="D66" s="3"/>
      <c r="E66" s="3"/>
      <c r="F66" s="3"/>
      <c r="G66" s="3"/>
      <c r="H66" s="3"/>
      <c r="I66" s="3"/>
      <c r="J66" s="3"/>
      <c r="K66" s="3"/>
      <c r="L66" s="3"/>
      <c r="M66" s="3"/>
      <c r="N66" s="3"/>
      <c r="O66" s="3"/>
      <c r="P66" s="3"/>
    </row>
    <row r="67" spans="2:16" x14ac:dyDescent="0.25">
      <c r="B67" s="3"/>
      <c r="C67" s="3"/>
      <c r="D67" s="3"/>
      <c r="E67" s="3"/>
      <c r="F67" s="3"/>
      <c r="G67" s="3"/>
      <c r="H67" s="3"/>
      <c r="I67" s="3"/>
      <c r="J67" s="3"/>
      <c r="K67" s="3"/>
      <c r="L67" s="3"/>
      <c r="M67" s="3"/>
      <c r="N67" s="3"/>
      <c r="O67" s="3"/>
      <c r="P67" s="3"/>
    </row>
    <row r="68" spans="2:16" x14ac:dyDescent="0.25">
      <c r="B68" s="3"/>
      <c r="C68" s="3"/>
      <c r="D68" s="3"/>
      <c r="E68" s="3"/>
      <c r="F68" s="3"/>
      <c r="G68" s="3"/>
      <c r="H68" s="3"/>
      <c r="I68" s="3"/>
      <c r="J68" s="3"/>
      <c r="K68" s="3"/>
      <c r="L68" s="3"/>
      <c r="M68" s="3"/>
      <c r="N68" s="3"/>
      <c r="O68" s="3"/>
      <c r="P68" s="3"/>
    </row>
    <row r="69" spans="2:16" x14ac:dyDescent="0.25">
      <c r="B69" s="3"/>
      <c r="C69" s="3"/>
      <c r="D69" s="3"/>
      <c r="E69" s="3"/>
      <c r="F69" s="3"/>
      <c r="G69" s="3"/>
      <c r="H69" s="3"/>
      <c r="I69" s="3"/>
      <c r="J69" s="3"/>
      <c r="K69" s="3"/>
      <c r="L69" s="3"/>
      <c r="M69" s="3"/>
      <c r="N69" s="3"/>
      <c r="O69" s="3"/>
      <c r="P69" s="3"/>
    </row>
    <row r="70" spans="2:16" x14ac:dyDescent="0.25">
      <c r="B70" s="3"/>
      <c r="C70" s="3"/>
      <c r="D70" s="3"/>
      <c r="E70" s="3"/>
      <c r="F70" s="3"/>
      <c r="G70" s="3"/>
      <c r="H70" s="3"/>
      <c r="I70" s="3"/>
      <c r="J70" s="3"/>
      <c r="K70" s="3"/>
      <c r="L70" s="3"/>
      <c r="M70" s="3"/>
      <c r="N70" s="3"/>
      <c r="O70" s="3"/>
      <c r="P70" s="3"/>
    </row>
    <row r="71" spans="2:16" x14ac:dyDescent="0.25">
      <c r="B71" s="3"/>
      <c r="C71" s="3"/>
      <c r="D71" s="3"/>
      <c r="E71" s="3"/>
      <c r="F71" s="3"/>
      <c r="G71" s="3"/>
      <c r="H71" s="3"/>
      <c r="I71" s="3"/>
      <c r="J71" s="3"/>
      <c r="K71" s="3"/>
      <c r="L71" s="3"/>
      <c r="M71" s="3"/>
      <c r="N71" s="3"/>
      <c r="O71" s="3"/>
      <c r="P71" s="3"/>
    </row>
    <row r="72" spans="2:16" x14ac:dyDescent="0.25">
      <c r="B72" s="3"/>
      <c r="C72" s="3"/>
      <c r="D72" s="3"/>
      <c r="E72" s="3"/>
      <c r="F72" s="3"/>
      <c r="G72" s="3"/>
      <c r="H72" s="3"/>
      <c r="I72" s="3"/>
      <c r="J72" s="3"/>
      <c r="K72" s="3"/>
      <c r="L72" s="3"/>
      <c r="M72" s="3"/>
      <c r="N72" s="3"/>
      <c r="O72" s="3"/>
      <c r="P72" s="3"/>
    </row>
    <row r="73" spans="2:16" x14ac:dyDescent="0.25">
      <c r="B73" s="3"/>
      <c r="C73" s="3"/>
      <c r="D73" s="3"/>
      <c r="E73" s="3"/>
      <c r="F73" s="3"/>
      <c r="G73" s="3"/>
      <c r="H73" s="3"/>
      <c r="I73" s="3"/>
      <c r="J73" s="3"/>
      <c r="K73" s="3"/>
      <c r="L73" s="3"/>
      <c r="M73" s="3"/>
      <c r="N73" s="3"/>
      <c r="O73" s="3"/>
      <c r="P73" s="3"/>
    </row>
    <row r="74" spans="2:16" x14ac:dyDescent="0.25">
      <c r="B74" s="3"/>
      <c r="C74" s="3"/>
      <c r="D74" s="3"/>
      <c r="E74" s="3"/>
      <c r="F74" s="3"/>
      <c r="G74" s="3"/>
      <c r="H74" s="3"/>
      <c r="I74" s="3"/>
      <c r="J74" s="3"/>
      <c r="K74" s="3"/>
      <c r="L74" s="3"/>
      <c r="M74" s="3"/>
      <c r="N74" s="3"/>
      <c r="O74" s="3"/>
      <c r="P74" s="3"/>
    </row>
  </sheetData>
  <sheetProtection algorithmName="SHA-512" hashValue="u/IThjIrWSa0ozVhRKPgBIQ8sl7GCHFAiJPYD/Sf7Gl0fjF5l08AF1eevQiUsCHsmABzxdKUapxcRArrg+HE4g==" saltValue="yPtpdmnAMQ3s0vAPdwr4wg==" spinCount="100000" sheet="1" objects="1" scenarios="1"/>
  <mergeCells count="16">
    <mergeCell ref="B1:L1"/>
    <mergeCell ref="D14:P14"/>
    <mergeCell ref="D5:P5"/>
    <mergeCell ref="B2:L2"/>
    <mergeCell ref="D4:P4"/>
    <mergeCell ref="D12:P12"/>
    <mergeCell ref="D11:P11"/>
    <mergeCell ref="D10:P10"/>
    <mergeCell ref="D9:P9"/>
    <mergeCell ref="D8:P8"/>
    <mergeCell ref="D17:P17"/>
    <mergeCell ref="D18:P18"/>
    <mergeCell ref="D19:P19"/>
    <mergeCell ref="D13:P13"/>
    <mergeCell ref="D16:P16"/>
    <mergeCell ref="D15:P15"/>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B22"/>
  <sheetViews>
    <sheetView topLeftCell="A13" workbookViewId="0">
      <selection activeCell="P43" sqref="P43"/>
    </sheetView>
  </sheetViews>
  <sheetFormatPr defaultColWidth="8.85546875" defaultRowHeight="15" x14ac:dyDescent="0.25"/>
  <cols>
    <col min="2" max="2" width="9.140625" customWidth="1"/>
  </cols>
  <sheetData>
    <row r="5" spans="2:2" x14ac:dyDescent="0.25">
      <c r="B5" s="30"/>
    </row>
    <row r="6" spans="2:2" x14ac:dyDescent="0.25">
      <c r="B6" s="30"/>
    </row>
    <row r="7" spans="2:2" x14ac:dyDescent="0.25">
      <c r="B7" s="30"/>
    </row>
    <row r="8" spans="2:2" x14ac:dyDescent="0.25">
      <c r="B8" s="30"/>
    </row>
    <row r="9" spans="2:2" x14ac:dyDescent="0.25">
      <c r="B9" s="30"/>
    </row>
    <row r="10" spans="2:2" x14ac:dyDescent="0.25">
      <c r="B10" s="30"/>
    </row>
    <row r="11" spans="2:2" x14ac:dyDescent="0.25">
      <c r="B11" s="30"/>
    </row>
    <row r="12" spans="2:2" x14ac:dyDescent="0.25">
      <c r="B12" s="30"/>
    </row>
    <row r="13" spans="2:2" x14ac:dyDescent="0.25">
      <c r="B13" s="30"/>
    </row>
    <row r="14" spans="2:2" x14ac:dyDescent="0.25">
      <c r="B14" s="30"/>
    </row>
    <row r="15" spans="2:2" x14ac:dyDescent="0.25">
      <c r="B15" s="30"/>
    </row>
    <row r="16" spans="2:2" x14ac:dyDescent="0.25">
      <c r="B16" s="30"/>
    </row>
    <row r="17" spans="2:2" x14ac:dyDescent="0.25">
      <c r="B17" s="30"/>
    </row>
    <row r="18" spans="2:2" x14ac:dyDescent="0.25">
      <c r="B18" s="30"/>
    </row>
    <row r="19" spans="2:2" x14ac:dyDescent="0.25">
      <c r="B19" s="30"/>
    </row>
    <row r="20" spans="2:2" x14ac:dyDescent="0.25">
      <c r="B20" s="30"/>
    </row>
    <row r="21" spans="2:2" x14ac:dyDescent="0.25">
      <c r="B21" s="30"/>
    </row>
    <row r="22" spans="2:2" x14ac:dyDescent="0.25">
      <c r="B22" s="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L36" sqref="L36:L37"/>
    </sheetView>
  </sheetViews>
  <sheetFormatPr defaultColWidth="8.8554687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ACD-C024-4ADC-B854-BB0FD004EC57}">
  <dimension ref="B3:N142"/>
  <sheetViews>
    <sheetView topLeftCell="A115" workbookViewId="0">
      <selection activeCell="B141" sqref="B141:C142"/>
    </sheetView>
  </sheetViews>
  <sheetFormatPr defaultRowHeight="15" x14ac:dyDescent="0.25"/>
  <cols>
    <col min="2" max="2" width="13.5703125" customWidth="1"/>
    <col min="3" max="3" width="72.42578125" bestFit="1" customWidth="1"/>
  </cols>
  <sheetData>
    <row r="3" spans="2:5" x14ac:dyDescent="0.25">
      <c r="B3" s="1280">
        <v>44789</v>
      </c>
      <c r="C3" s="67" t="s">
        <v>1060</v>
      </c>
      <c r="D3" s="67"/>
      <c r="E3" s="67"/>
    </row>
    <row r="4" spans="2:5" x14ac:dyDescent="0.25">
      <c r="B4" s="1280">
        <v>44796</v>
      </c>
      <c r="C4" s="67" t="s">
        <v>1068</v>
      </c>
      <c r="D4" s="67"/>
      <c r="E4" s="67"/>
    </row>
    <row r="5" spans="2:5" x14ac:dyDescent="0.25">
      <c r="B5" s="1280">
        <v>44796</v>
      </c>
      <c r="C5" s="67" t="s">
        <v>1061</v>
      </c>
      <c r="D5" s="67"/>
      <c r="E5" s="67"/>
    </row>
    <row r="6" spans="2:5" x14ac:dyDescent="0.25">
      <c r="B6" s="1280">
        <v>44796</v>
      </c>
      <c r="C6" s="67" t="s">
        <v>1066</v>
      </c>
      <c r="D6" s="67"/>
      <c r="E6" s="67"/>
    </row>
    <row r="7" spans="2:5" x14ac:dyDescent="0.25">
      <c r="B7" s="1280">
        <v>44796</v>
      </c>
      <c r="C7" s="67" t="s">
        <v>1067</v>
      </c>
      <c r="D7" s="67"/>
      <c r="E7" s="67"/>
    </row>
    <row r="8" spans="2:5" x14ac:dyDescent="0.25">
      <c r="B8" s="49"/>
      <c r="C8" s="49"/>
      <c r="D8" s="49"/>
      <c r="E8" s="49"/>
    </row>
    <row r="9" spans="2:5" x14ac:dyDescent="0.25">
      <c r="B9" s="49"/>
      <c r="C9" s="49"/>
      <c r="D9" s="49"/>
      <c r="E9" s="49"/>
    </row>
    <row r="10" spans="2:5" x14ac:dyDescent="0.25">
      <c r="B10" s="49"/>
      <c r="C10" s="49"/>
      <c r="D10" s="49"/>
      <c r="E10" s="49"/>
    </row>
    <row r="11" spans="2:5" ht="75" x14ac:dyDescent="0.25">
      <c r="B11" s="1280">
        <v>44805</v>
      </c>
      <c r="C11" s="1281" t="s">
        <v>1069</v>
      </c>
      <c r="D11" s="49"/>
      <c r="E11" s="49"/>
    </row>
    <row r="12" spans="2:5" x14ac:dyDescent="0.25">
      <c r="B12" s="1280">
        <v>44805</v>
      </c>
      <c r="C12" s="67" t="s">
        <v>1070</v>
      </c>
      <c r="D12" s="49"/>
      <c r="E12" s="49"/>
    </row>
    <row r="13" spans="2:5" x14ac:dyDescent="0.25">
      <c r="B13" s="1280">
        <v>44805</v>
      </c>
      <c r="C13" s="67" t="s">
        <v>1071</v>
      </c>
      <c r="D13" s="49"/>
      <c r="E13" s="49"/>
    </row>
    <row r="14" spans="2:5" x14ac:dyDescent="0.25">
      <c r="B14" s="1280">
        <v>44805</v>
      </c>
      <c r="C14" s="67" t="s">
        <v>1072</v>
      </c>
      <c r="D14" s="49"/>
      <c r="E14" s="49"/>
    </row>
    <row r="15" spans="2:5" x14ac:dyDescent="0.25">
      <c r="B15" s="1280">
        <v>44805</v>
      </c>
      <c r="C15" s="1282" t="s">
        <v>1073</v>
      </c>
      <c r="D15" s="49"/>
      <c r="E15" s="49"/>
    </row>
    <row r="16" spans="2:5" x14ac:dyDescent="0.25">
      <c r="B16" s="1280">
        <v>44805</v>
      </c>
      <c r="C16" s="1282" t="s">
        <v>1074</v>
      </c>
      <c r="D16" s="49"/>
      <c r="E16" s="49"/>
    </row>
    <row r="17" spans="2:5" x14ac:dyDescent="0.25">
      <c r="B17" s="49"/>
      <c r="C17" s="49"/>
      <c r="D17" s="49"/>
      <c r="E17" s="49"/>
    </row>
    <row r="18" spans="2:5" x14ac:dyDescent="0.25">
      <c r="B18" s="49"/>
      <c r="C18" s="49"/>
      <c r="D18" s="49"/>
      <c r="E18" s="49"/>
    </row>
    <row r="19" spans="2:5" x14ac:dyDescent="0.25">
      <c r="B19" s="1275"/>
      <c r="C19" s="49"/>
      <c r="D19" s="49"/>
      <c r="E19" s="49"/>
    </row>
    <row r="20" spans="2:5" x14ac:dyDescent="0.25">
      <c r="B20" s="49"/>
      <c r="C20" s="49"/>
      <c r="D20" s="49"/>
      <c r="E20" s="49"/>
    </row>
    <row r="21" spans="2:5" x14ac:dyDescent="0.25">
      <c r="B21" s="49"/>
      <c r="C21" s="49"/>
      <c r="D21" s="49"/>
      <c r="E21" s="49"/>
    </row>
    <row r="22" spans="2:5" x14ac:dyDescent="0.25">
      <c r="B22" s="49"/>
      <c r="C22" s="49"/>
      <c r="D22" s="49"/>
      <c r="E22" s="49"/>
    </row>
    <row r="23" spans="2:5" x14ac:dyDescent="0.25">
      <c r="B23" s="49"/>
      <c r="C23" s="49"/>
      <c r="D23" s="49"/>
      <c r="E23" s="49"/>
    </row>
    <row r="24" spans="2:5" x14ac:dyDescent="0.25">
      <c r="B24" s="67"/>
      <c r="C24" s="1283" t="s">
        <v>1077</v>
      </c>
      <c r="D24" s="1279"/>
      <c r="E24" s="49"/>
    </row>
    <row r="25" spans="2:5" x14ac:dyDescent="0.25">
      <c r="B25" s="1280">
        <v>44879</v>
      </c>
      <c r="C25" s="67" t="s">
        <v>1078</v>
      </c>
      <c r="D25" s="1279"/>
      <c r="E25" s="49"/>
    </row>
    <row r="26" spans="2:5" x14ac:dyDescent="0.25">
      <c r="B26" s="1280">
        <v>44879</v>
      </c>
      <c r="C26" s="67" t="s">
        <v>1079</v>
      </c>
      <c r="D26" s="1279"/>
      <c r="E26" s="49"/>
    </row>
    <row r="27" spans="2:5" x14ac:dyDescent="0.25">
      <c r="B27" s="1280">
        <v>44879</v>
      </c>
      <c r="C27" s="67" t="s">
        <v>1080</v>
      </c>
      <c r="D27" s="1279"/>
      <c r="E27" s="49"/>
    </row>
    <row r="28" spans="2:5" x14ac:dyDescent="0.25">
      <c r="B28" s="1280">
        <v>44879</v>
      </c>
      <c r="C28" s="67" t="s">
        <v>1081</v>
      </c>
      <c r="D28" s="1279"/>
      <c r="E28" s="49"/>
    </row>
    <row r="29" spans="2:5" x14ac:dyDescent="0.25">
      <c r="B29" s="1280">
        <v>44879</v>
      </c>
      <c r="C29" s="67" t="s">
        <v>1082</v>
      </c>
      <c r="D29" s="1279"/>
      <c r="E29" s="49"/>
    </row>
    <row r="30" spans="2:5" x14ac:dyDescent="0.25">
      <c r="B30" s="1280">
        <v>44879</v>
      </c>
      <c r="C30" s="67" t="s">
        <v>1083</v>
      </c>
      <c r="D30" s="1279"/>
      <c r="E30" s="49"/>
    </row>
    <row r="31" spans="2:5" x14ac:dyDescent="0.25">
      <c r="B31" s="1280">
        <v>44879</v>
      </c>
      <c r="C31" s="67" t="s">
        <v>1084</v>
      </c>
    </row>
    <row r="32" spans="2:5" x14ac:dyDescent="0.25">
      <c r="B32" s="1280">
        <v>44879</v>
      </c>
      <c r="C32" s="67" t="s">
        <v>1085</v>
      </c>
    </row>
    <row r="35" spans="2:5" x14ac:dyDescent="0.25">
      <c r="B35" s="1280">
        <v>44885</v>
      </c>
      <c r="C35" s="67" t="s">
        <v>1086</v>
      </c>
      <c r="D35" s="49"/>
      <c r="E35" s="49"/>
    </row>
    <row r="36" spans="2:5" x14ac:dyDescent="0.25">
      <c r="B36" s="1280">
        <v>44885</v>
      </c>
      <c r="C36" s="1284" t="s">
        <v>1087</v>
      </c>
    </row>
    <row r="37" spans="2:5" x14ac:dyDescent="0.25">
      <c r="B37" s="1280">
        <v>44885</v>
      </c>
      <c r="C37" s="1284" t="s">
        <v>1088</v>
      </c>
    </row>
    <row r="38" spans="2:5" x14ac:dyDescent="0.25">
      <c r="B38" s="1280">
        <v>44885</v>
      </c>
      <c r="C38" s="1284" t="s">
        <v>1090</v>
      </c>
    </row>
    <row r="41" spans="2:5" x14ac:dyDescent="0.25">
      <c r="B41" s="1287" t="s">
        <v>1091</v>
      </c>
      <c r="C41" s="1287">
        <v>120423</v>
      </c>
    </row>
    <row r="42" spans="2:5" x14ac:dyDescent="0.25">
      <c r="B42" s="68" t="s">
        <v>135</v>
      </c>
      <c r="C42" s="1287" t="s">
        <v>1092</v>
      </c>
    </row>
    <row r="43" spans="2:5" x14ac:dyDescent="0.25">
      <c r="C43" s="1289" t="s">
        <v>1093</v>
      </c>
    </row>
    <row r="44" spans="2:5" x14ac:dyDescent="0.25">
      <c r="C44" s="1289" t="s">
        <v>1094</v>
      </c>
    </row>
    <row r="46" spans="2:5" x14ac:dyDescent="0.25">
      <c r="B46" s="68" t="s">
        <v>117</v>
      </c>
      <c r="C46" t="s">
        <v>1095</v>
      </c>
    </row>
    <row r="47" spans="2:5" x14ac:dyDescent="0.25">
      <c r="C47" t="s">
        <v>1096</v>
      </c>
    </row>
    <row r="50" spans="2:14" x14ac:dyDescent="0.25">
      <c r="B50" s="68" t="s">
        <v>118</v>
      </c>
      <c r="C50" s="1290" t="s">
        <v>1097</v>
      </c>
    </row>
    <row r="51" spans="2:14" x14ac:dyDescent="0.25">
      <c r="C51" t="s">
        <v>1098</v>
      </c>
    </row>
    <row r="54" spans="2:14" s="1043" customFormat="1" x14ac:dyDescent="0.25"/>
    <row r="55" spans="2:14" s="1043" customFormat="1" x14ac:dyDescent="0.25">
      <c r="C55" s="1411" t="s">
        <v>1117</v>
      </c>
      <c r="D55" s="1411"/>
      <c r="E55" s="1411"/>
      <c r="F55" s="1411"/>
      <c r="G55" s="1411"/>
      <c r="H55" s="1411"/>
      <c r="I55" s="1411"/>
      <c r="J55" s="1411"/>
      <c r="K55" s="1411"/>
      <c r="L55" s="1411"/>
      <c r="M55" s="1411"/>
      <c r="N55" s="1411"/>
    </row>
    <row r="56" spans="2:14" s="1043" customFormat="1" x14ac:dyDescent="0.25">
      <c r="C56" s="1411"/>
      <c r="D56" s="1411"/>
      <c r="E56" s="1411"/>
      <c r="F56" s="1411"/>
      <c r="G56" s="1411"/>
      <c r="H56" s="1411"/>
      <c r="I56" s="1411"/>
      <c r="J56" s="1411"/>
      <c r="K56" s="1411"/>
      <c r="L56" s="1411"/>
      <c r="M56" s="1411"/>
      <c r="N56" s="1411"/>
    </row>
    <row r="57" spans="2:14" s="1043" customFormat="1" x14ac:dyDescent="0.25">
      <c r="C57" s="1411"/>
      <c r="D57" s="1411"/>
      <c r="E57" s="1411"/>
      <c r="F57" s="1411"/>
      <c r="G57" s="1411"/>
      <c r="H57" s="1411"/>
      <c r="I57" s="1411"/>
      <c r="J57" s="1411"/>
      <c r="K57" s="1411"/>
      <c r="L57" s="1411"/>
      <c r="M57" s="1411"/>
      <c r="N57" s="1411"/>
    </row>
    <row r="58" spans="2:14" s="1043" customFormat="1" x14ac:dyDescent="0.25">
      <c r="C58" s="1411"/>
      <c r="D58" s="1411"/>
      <c r="E58" s="1411"/>
      <c r="F58" s="1411"/>
      <c r="G58" s="1411"/>
      <c r="H58" s="1411"/>
      <c r="I58" s="1411"/>
      <c r="J58" s="1411"/>
      <c r="K58" s="1411"/>
      <c r="L58" s="1411"/>
      <c r="M58" s="1411"/>
      <c r="N58" s="1411"/>
    </row>
    <row r="59" spans="2:14" s="1043" customFormat="1" x14ac:dyDescent="0.25">
      <c r="C59" s="68"/>
      <c r="D59" s="68"/>
      <c r="E59" s="68"/>
      <c r="F59" s="68"/>
      <c r="G59" s="68"/>
      <c r="H59" s="68"/>
      <c r="I59" s="68"/>
      <c r="J59" s="68"/>
      <c r="K59" s="68"/>
      <c r="L59" s="68"/>
      <c r="M59" s="68"/>
      <c r="N59" s="68"/>
    </row>
    <row r="60" spans="2:14" s="1043" customFormat="1" x14ac:dyDescent="0.25">
      <c r="C60" s="68"/>
      <c r="D60" s="68"/>
      <c r="E60" s="68"/>
      <c r="F60" s="68"/>
      <c r="G60" s="68"/>
      <c r="H60" s="68"/>
      <c r="I60" s="68"/>
      <c r="J60" s="68"/>
      <c r="K60" s="68"/>
      <c r="L60" s="68"/>
      <c r="M60" s="68"/>
      <c r="N60" s="68"/>
    </row>
    <row r="61" spans="2:14" s="1043" customFormat="1" x14ac:dyDescent="0.25">
      <c r="C61" s="68"/>
      <c r="D61" s="68"/>
      <c r="E61" s="68"/>
      <c r="F61" s="68"/>
      <c r="G61" s="68"/>
      <c r="H61" s="68"/>
      <c r="I61" s="68"/>
      <c r="J61" s="68"/>
      <c r="K61" s="68"/>
      <c r="L61" s="68"/>
      <c r="M61" s="68"/>
      <c r="N61" s="68"/>
    </row>
    <row r="62" spans="2:14" s="1043" customFormat="1" x14ac:dyDescent="0.25">
      <c r="C62" s="1292" t="s">
        <v>1118</v>
      </c>
      <c r="D62" s="68"/>
      <c r="E62" s="68"/>
      <c r="F62" s="68"/>
      <c r="G62" s="68"/>
      <c r="H62" s="68"/>
      <c r="I62" s="68"/>
      <c r="J62" s="68"/>
      <c r="K62" s="68"/>
      <c r="L62" s="68"/>
      <c r="M62" s="68"/>
      <c r="N62" s="68"/>
    </row>
    <row r="63" spans="2:14" s="1043" customFormat="1" x14ac:dyDescent="0.25">
      <c r="C63" s="1292" t="s">
        <v>1119</v>
      </c>
      <c r="D63" s="68"/>
      <c r="E63" s="68"/>
      <c r="F63" s="68"/>
      <c r="G63" s="68"/>
      <c r="H63" s="68"/>
      <c r="I63" s="68"/>
      <c r="J63" s="68"/>
      <c r="K63" s="68"/>
      <c r="L63" s="68"/>
      <c r="M63" s="68"/>
      <c r="N63" s="68"/>
    </row>
    <row r="64" spans="2:14" s="1043" customFormat="1" x14ac:dyDescent="0.25"/>
    <row r="65" spans="2:3" s="1043" customFormat="1" x14ac:dyDescent="0.25"/>
    <row r="66" spans="2:3" s="1043" customFormat="1" x14ac:dyDescent="0.25"/>
    <row r="67" spans="2:3" s="1043" customFormat="1" x14ac:dyDescent="0.25"/>
    <row r="68" spans="2:3" s="1043" customFormat="1" x14ac:dyDescent="0.25"/>
    <row r="69" spans="2:3" s="1043" customFormat="1" x14ac:dyDescent="0.25"/>
    <row r="70" spans="2:3" x14ac:dyDescent="0.25">
      <c r="B70" s="68" t="s">
        <v>169</v>
      </c>
      <c r="C70" t="s">
        <v>1099</v>
      </c>
    </row>
    <row r="71" spans="2:3" x14ac:dyDescent="0.25">
      <c r="C71" s="1289" t="s">
        <v>1100</v>
      </c>
    </row>
    <row r="76" spans="2:3" x14ac:dyDescent="0.25">
      <c r="B76" s="68" t="s">
        <v>177</v>
      </c>
      <c r="C76" t="s">
        <v>1101</v>
      </c>
    </row>
    <row r="77" spans="2:3" x14ac:dyDescent="0.25">
      <c r="C77" t="s">
        <v>1102</v>
      </c>
    </row>
    <row r="78" spans="2:3" x14ac:dyDescent="0.25">
      <c r="C78" t="s">
        <v>1103</v>
      </c>
    </row>
    <row r="80" spans="2:3" x14ac:dyDescent="0.25">
      <c r="B80" s="68" t="s">
        <v>177</v>
      </c>
      <c r="C80" t="s">
        <v>1105</v>
      </c>
    </row>
    <row r="82" spans="2:14" x14ac:dyDescent="0.25">
      <c r="N82" s="1043"/>
    </row>
    <row r="83" spans="2:14" x14ac:dyDescent="0.25">
      <c r="B83" s="68"/>
      <c r="C83" s="1291" t="s">
        <v>1106</v>
      </c>
    </row>
    <row r="84" spans="2:14" x14ac:dyDescent="0.25">
      <c r="C84" s="1290" t="s">
        <v>1107</v>
      </c>
    </row>
    <row r="86" spans="2:14" x14ac:dyDescent="0.25">
      <c r="C86" t="s">
        <v>1108</v>
      </c>
    </row>
    <row r="89" spans="2:14" x14ac:dyDescent="0.25">
      <c r="B89" s="68" t="s">
        <v>94</v>
      </c>
      <c r="C89" t="s">
        <v>1038</v>
      </c>
    </row>
    <row r="90" spans="2:14" x14ac:dyDescent="0.25">
      <c r="C90" t="s">
        <v>1110</v>
      </c>
    </row>
    <row r="94" spans="2:14" x14ac:dyDescent="0.25">
      <c r="B94" s="68" t="s">
        <v>118</v>
      </c>
      <c r="C94" t="s">
        <v>1112</v>
      </c>
    </row>
    <row r="95" spans="2:14" x14ac:dyDescent="0.25">
      <c r="C95" t="s">
        <v>1111</v>
      </c>
    </row>
    <row r="100" spans="2:3" x14ac:dyDescent="0.25">
      <c r="B100" s="68" t="s">
        <v>171</v>
      </c>
      <c r="C100" t="s">
        <v>1115</v>
      </c>
    </row>
    <row r="101" spans="2:3" x14ac:dyDescent="0.25">
      <c r="C101" t="s">
        <v>1116</v>
      </c>
    </row>
    <row r="103" spans="2:3" x14ac:dyDescent="0.25">
      <c r="C103" t="s">
        <v>1113</v>
      </c>
    </row>
    <row r="104" spans="2:3" x14ac:dyDescent="0.25">
      <c r="C104" t="s">
        <v>1114</v>
      </c>
    </row>
    <row r="108" spans="2:3" x14ac:dyDescent="0.25">
      <c r="B108" s="68" t="s">
        <v>135</v>
      </c>
      <c r="C108" s="1043" t="s">
        <v>1120</v>
      </c>
    </row>
    <row r="109" spans="2:3" x14ac:dyDescent="0.25">
      <c r="B109" s="1293">
        <v>45229</v>
      </c>
      <c r="C109" s="1043" t="s">
        <v>1124</v>
      </c>
    </row>
    <row r="110" spans="2:3" x14ac:dyDescent="0.25">
      <c r="B110" s="1043"/>
      <c r="C110" s="1043" t="s">
        <v>1121</v>
      </c>
    </row>
    <row r="111" spans="2:3" x14ac:dyDescent="0.25">
      <c r="B111" s="1043"/>
      <c r="C111" s="1043" t="s">
        <v>1122</v>
      </c>
    </row>
    <row r="112" spans="2:3" x14ac:dyDescent="0.25">
      <c r="B112" s="1043"/>
      <c r="C112" s="1043" t="s">
        <v>1123</v>
      </c>
    </row>
    <row r="113" spans="2:3" x14ac:dyDescent="0.25">
      <c r="B113" s="1043"/>
      <c r="C113" s="1043" t="s">
        <v>1125</v>
      </c>
    </row>
    <row r="114" spans="2:3" x14ac:dyDescent="0.25">
      <c r="C114" s="1043" t="s">
        <v>1126</v>
      </c>
    </row>
    <row r="116" spans="2:3" x14ac:dyDescent="0.25">
      <c r="C116" t="s">
        <v>1139</v>
      </c>
    </row>
    <row r="117" spans="2:3" x14ac:dyDescent="0.25">
      <c r="C117" t="s">
        <v>1141</v>
      </c>
    </row>
    <row r="118" spans="2:3" x14ac:dyDescent="0.25">
      <c r="C118" t="s">
        <v>1146</v>
      </c>
    </row>
    <row r="119" spans="2:3" x14ac:dyDescent="0.25">
      <c r="C119" t="s">
        <v>1148</v>
      </c>
    </row>
    <row r="121" spans="2:3" x14ac:dyDescent="0.25">
      <c r="B121" s="68" t="s">
        <v>875</v>
      </c>
      <c r="C121" t="s">
        <v>1140</v>
      </c>
    </row>
    <row r="123" spans="2:3" x14ac:dyDescent="0.25">
      <c r="C123" s="1043" t="s">
        <v>1143</v>
      </c>
    </row>
    <row r="125" spans="2:3" x14ac:dyDescent="0.25">
      <c r="C125" t="s">
        <v>1144</v>
      </c>
    </row>
    <row r="126" spans="2:3" x14ac:dyDescent="0.25">
      <c r="C126" t="s">
        <v>1150</v>
      </c>
    </row>
    <row r="128" spans="2:3" x14ac:dyDescent="0.25">
      <c r="C128" t="s">
        <v>1151</v>
      </c>
    </row>
    <row r="130" spans="2:3" x14ac:dyDescent="0.25">
      <c r="B130" s="68" t="s">
        <v>176</v>
      </c>
      <c r="C130" t="s">
        <v>1152</v>
      </c>
    </row>
    <row r="131" spans="2:3" x14ac:dyDescent="0.25">
      <c r="C131" t="s">
        <v>1160</v>
      </c>
    </row>
    <row r="132" spans="2:3" x14ac:dyDescent="0.25">
      <c r="C132" t="s">
        <v>1154</v>
      </c>
    </row>
    <row r="133" spans="2:3" x14ac:dyDescent="0.25">
      <c r="C133" t="s">
        <v>1156</v>
      </c>
    </row>
    <row r="134" spans="2:3" x14ac:dyDescent="0.25">
      <c r="C134" t="s">
        <v>1158</v>
      </c>
    </row>
    <row r="135" spans="2:3" x14ac:dyDescent="0.25">
      <c r="C135" t="s">
        <v>1159</v>
      </c>
    </row>
    <row r="136" spans="2:3" x14ac:dyDescent="0.25">
      <c r="C136" s="1043" t="s">
        <v>1161</v>
      </c>
    </row>
    <row r="141" spans="2:3" x14ac:dyDescent="0.25">
      <c r="B141" s="1299">
        <v>45327</v>
      </c>
    </row>
    <row r="142" spans="2:3" x14ac:dyDescent="0.25">
      <c r="C142" s="68" t="s">
        <v>1163</v>
      </c>
    </row>
  </sheetData>
  <sheetProtection algorithmName="SHA-512" hashValue="THm6vJmXB0wtAyXg9VKcqZxRWqT8VV2dQ13Y7PMS0W/eoYukBVU8/NNQ8xeOshnEwFeJDs2OiSAhc0hXYITQ4Q==" saltValue="jhKNmG4mDxGw1+mkoPwWKg==" spinCount="100000" sheet="1" objects="1" scenarios="1"/>
  <mergeCells count="1">
    <mergeCell ref="C55:N5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3ED8D844509B40B8ED2A4F57557FDF" ma:contentTypeVersion="10" ma:contentTypeDescription="Opprett et nytt dokument." ma:contentTypeScope="" ma:versionID="5a3588df43d0e122934e98f713478315">
  <xsd:schema xmlns:xsd="http://www.w3.org/2001/XMLSchema" xmlns:xs="http://www.w3.org/2001/XMLSchema" xmlns:p="http://schemas.microsoft.com/office/2006/metadata/properties" xmlns:ns2="94fc5000-3977-4bb9-85fe-95b8458bb4bf" xmlns:ns3="8f686a36-9368-4dda-9e9f-a86bde0d326a" targetNamespace="http://schemas.microsoft.com/office/2006/metadata/properties" ma:root="true" ma:fieldsID="5dc860a208286b0380a3671511075df2" ns2:_="" ns3:_="">
    <xsd:import namespace="94fc5000-3977-4bb9-85fe-95b8458bb4bf"/>
    <xsd:import namespace="8f686a36-9368-4dda-9e9f-a86bde0d326a"/>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SharedWithUsers" minOccurs="0"/>
                <xsd:element ref="ns3:Oppdra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c5000-3977-4bb9-85fe-95b8458bb4b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686a36-9368-4dda-9e9f-a86bde0d326a"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4A005FC5-2181-4245-9789-C7D57B48DB22}" ma:internalName="Aktivitet" ma:showField="Title" ma:web="8f686a36-9368-4dda-9e9f-a86bde0d326a">
      <xsd:simpleType>
        <xsd:restriction base="dms:Lookup"/>
      </xsd:simpleType>
    </xsd:element>
    <xsd:element name="Dokumenttema" ma:index="13" nillable="true" ma:displayName="Dokumenttema" ma:list="{49143DDE-213C-4E8B-A328-CB38FE75E5AB}" ma:internalName="Dokumenttema" ma:showField="Title" ma:web="8f686a36-9368-4dda-9e9f-a86bde0d326a">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SharedWithUsers" ma:index="19"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pdragsnummer" ma:index="20" nillable="true" ma:displayName="Oppdragsnummer" ma:default="605893-02" ma:internalName="Oppdrags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4fc5000-3977-4bb9-85fe-95b8458bb4bf">605893-383881373-2045</_dlc_DocId>
    <_dlc_DocIdUrl xmlns="94fc5000-3977-4bb9-85fe-95b8458bb4bf">
      <Url>http://bikube/Oppdrag/605893/02/_layouts/15/DocIdRedir.aspx?ID=605893-383881373-2045</Url>
      <Description>605893-383881373-2045</Description>
    </_dlc_DocIdUrl>
    <FraTekst xmlns="8f686a36-9368-4dda-9e9f-a86bde0d326a" xsi:nil="true"/>
    <Revisjon xmlns="8f686a36-9368-4dda-9e9f-a86bde0d326a" xsi:nil="true"/>
    <KopiTekst xmlns="8f686a36-9368-4dda-9e9f-a86bde0d326a" xsi:nil="true"/>
    <Aktivitet xmlns="8f686a36-9368-4dda-9e9f-a86bde0d326a" xsi:nil="true"/>
    <Dokumenttype xmlns="8f686a36-9368-4dda-9e9f-a86bde0d326a">Oppdragsdokument</Dokumenttype>
    <Dokumenttema xmlns="8f686a36-9368-4dda-9e9f-a86bde0d326a" xsi:nil="true"/>
    <TilTekst xmlns="8f686a36-9368-4dda-9e9f-a86bde0d326a" xsi:nil="true"/>
    <RevisjonsDato xmlns="8f686a36-9368-4dda-9e9f-a86bde0d326a" xsi:nil="true"/>
    <Oppdragsnummer xmlns="8f686a36-9368-4dda-9e9f-a86bde0d326a">605893-02</Oppdragsnummer>
  </documentManagement>
</p:properties>
</file>

<file path=customXml/itemProps1.xml><?xml version="1.0" encoding="utf-8"?>
<ds:datastoreItem xmlns:ds="http://schemas.openxmlformats.org/officeDocument/2006/customXml" ds:itemID="{2EA4F048-F331-46D8-88A5-DBFFD822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c5000-3977-4bb9-85fe-95b8458bb4bf"/>
    <ds:schemaRef ds:uri="8f686a36-9368-4dda-9e9f-a86bde0d3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DD3A8-8D41-4FD7-A662-C510F7F38AB7}">
  <ds:schemaRefs>
    <ds:schemaRef ds:uri="http://schemas.microsoft.com/sharepoint/events"/>
  </ds:schemaRefs>
</ds:datastoreItem>
</file>

<file path=customXml/itemProps3.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4.xml><?xml version="1.0" encoding="utf-8"?>
<ds:datastoreItem xmlns:ds="http://schemas.openxmlformats.org/officeDocument/2006/customXml" ds:itemID="{00F68772-2ABF-4F37-8594-F905212249AD}">
  <ds:schemaRefs>
    <ds:schemaRef ds:uri="8f686a36-9368-4dda-9e9f-a86bde0d326a"/>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94fc5000-3977-4bb9-85fe-95b8458bb4b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761</vt:i4>
      </vt:variant>
    </vt:vector>
  </HeadingPairs>
  <TitlesOfParts>
    <vt:vector size="774" baseType="lpstr">
      <vt:lpstr>Instructions</vt:lpstr>
      <vt:lpstr>Assessment Details</vt:lpstr>
      <vt:lpstr>Pre-Assessment Estimator</vt:lpstr>
      <vt:lpstr>Credit list</vt:lpstr>
      <vt:lpstr>Manuell filtrering og justering</vt:lpstr>
      <vt:lpstr>Poeng</vt:lpstr>
      <vt:lpstr>Summary of Building Performance</vt:lpstr>
      <vt:lpstr>PAE available for copy</vt:lpstr>
      <vt:lpstr>Version Control</vt:lpstr>
      <vt:lpstr>Sheet1</vt:lpstr>
      <vt:lpstr>Sheet2</vt:lpstr>
      <vt:lpstr>Sheet3</vt:lpstr>
      <vt:lpstr>Logg</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ADIND_option02n</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Instructions!Print_Area</vt:lpstr>
      <vt:lpstr>'PAE available for copy'!Print_Area</vt:lpstr>
      <vt:lpstr>'Pre-Assessment Estimator'!Print_Area</vt:lpstr>
      <vt:lpstr>'Summary of Building Performance'!Print_Area</vt:lpstr>
      <vt:lpstr>'Version Control'!Print_Area</vt:lpstr>
      <vt:lpstr>'PAE available for copy'!Print_Titles</vt:lpstr>
      <vt:lpstr>'Pre-Assessment Estimator'!Print_Titles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Oddbjørn Dahlstrøm Andvik</cp:lastModifiedBy>
  <cp:lastPrinted>2022-06-24T10:54:47Z</cp:lastPrinted>
  <dcterms:created xsi:type="dcterms:W3CDTF">2011-03-28T14:05:06Z</dcterms:created>
  <dcterms:modified xsi:type="dcterms:W3CDTF">2024-02-08T12:28:55Z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1a1313e7-f814-4958-ad03-b536a5c5c290</vt:lpwstr>
  </property>
  <property fmtid="{D5CDD505-2E9C-101B-9397-08002B2CF9AE}" pid="3" name="ContentTypeId">
    <vt:lpwstr>0x010100473ED8D844509B40B8ED2A4F57557FDF</vt:lpwstr>
  </property>
</Properties>
</file>